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5"/>
  </bookViews>
  <sheets>
    <sheet name="Баня" sheetId="1" r:id="rId1"/>
    <sheet name="Вода Ванзетур" sheetId="2" r:id="rId2"/>
    <sheet name="Вода Игрим" sheetId="3" r:id="rId3"/>
    <sheet name="тепло Ванзетур 1" sheetId="4" r:id="rId4"/>
    <sheet name="тепло Игрим 1" sheetId="5" r:id="rId5"/>
    <sheet name="стоки" sheetId="6" r:id="rId6"/>
  </sheets>
  <definedNames/>
  <calcPr fullCalcOnLoad="1"/>
</workbook>
</file>

<file path=xl/sharedStrings.xml><?xml version="1.0" encoding="utf-8"?>
<sst xmlns="http://schemas.openxmlformats.org/spreadsheetml/2006/main" count="826" uniqueCount="399">
  <si>
    <t>себестоимости услуг бани</t>
  </si>
  <si>
    <t>Игримское МУП Тепловодоканал</t>
  </si>
  <si>
    <t>тыс. руб.</t>
  </si>
  <si>
    <t>№</t>
  </si>
  <si>
    <t>1</t>
  </si>
  <si>
    <t>1 1.</t>
  </si>
  <si>
    <t>1.2</t>
  </si>
  <si>
    <t>1.3</t>
  </si>
  <si>
    <t>2</t>
  </si>
  <si>
    <t>3</t>
  </si>
  <si>
    <t>3.1</t>
  </si>
  <si>
    <t>3.2</t>
  </si>
  <si>
    <t>3.3.</t>
  </si>
  <si>
    <t>4</t>
  </si>
  <si>
    <t>4.1</t>
  </si>
  <si>
    <t>4.2</t>
  </si>
  <si>
    <t>4.4</t>
  </si>
  <si>
    <t>4.4.1</t>
  </si>
  <si>
    <t>4.4.2</t>
  </si>
  <si>
    <t>4.4.4</t>
  </si>
  <si>
    <t>4.4.5</t>
  </si>
  <si>
    <t>4.6</t>
  </si>
  <si>
    <t>4.7</t>
  </si>
  <si>
    <t>4.8</t>
  </si>
  <si>
    <r>
      <t>4</t>
    </r>
    <r>
      <rPr>
        <sz val="6"/>
        <rFont val="Times New Roman"/>
        <family val="1"/>
      </rPr>
      <t>.9</t>
    </r>
  </si>
  <si>
    <t>4.10</t>
  </si>
  <si>
    <t>4.11</t>
  </si>
  <si>
    <t>4.11.1</t>
  </si>
  <si>
    <t>4.11.2</t>
  </si>
  <si>
    <t>4.12</t>
  </si>
  <si>
    <t>4.12.1</t>
  </si>
  <si>
    <t>4.12.2</t>
  </si>
  <si>
    <t>4.12.3</t>
  </si>
  <si>
    <t>4.12.4</t>
  </si>
  <si>
    <t>4.12.4.1</t>
  </si>
  <si>
    <t>4.12.4.2</t>
  </si>
  <si>
    <t>4.12.4.3</t>
  </si>
  <si>
    <t>4.12.4.4</t>
  </si>
  <si>
    <t>4.12.4.5</t>
  </si>
  <si>
    <t>4.13</t>
  </si>
  <si>
    <t>4.13.1</t>
  </si>
  <si>
    <t>4.13.2</t>
  </si>
  <si>
    <t>5</t>
  </si>
  <si>
    <t>5.1</t>
  </si>
  <si>
    <t>5.1.1</t>
  </si>
  <si>
    <t>5.2</t>
  </si>
  <si>
    <t>5.3</t>
  </si>
  <si>
    <t>5.4</t>
  </si>
  <si>
    <t>5.5</t>
  </si>
  <si>
    <r>
      <t xml:space="preserve">5 </t>
    </r>
    <r>
      <rPr>
        <sz val="6"/>
        <rFont val="Times New Roman"/>
        <family val="1"/>
      </rPr>
      <t xml:space="preserve">5 </t>
    </r>
    <r>
      <rPr>
        <b/>
        <sz val="6"/>
        <rFont val="Times New Roman"/>
        <family val="1"/>
      </rPr>
      <t>1</t>
    </r>
  </si>
  <si>
    <t>5.5.2</t>
  </si>
  <si>
    <t>6</t>
  </si>
  <si>
    <t>7</t>
  </si>
  <si>
    <t>со</t>
  </si>
  <si>
    <t>9</t>
  </si>
  <si>
    <t>9.1</t>
  </si>
  <si>
    <t>9.2</t>
  </si>
  <si>
    <t>10</t>
  </si>
  <si>
    <t>11</t>
  </si>
  <si>
    <t>12</t>
  </si>
  <si>
    <t>Наименование показателя</t>
  </si>
  <si>
    <t>Пропуск платных посетителей, всего (чел.)</t>
  </si>
  <si>
    <t>в том числе дети (чел.)</t>
  </si>
  <si>
    <t>пенсионеры (чел)</t>
  </si>
  <si>
    <t>трудоспособное население (чел.)</t>
  </si>
  <si>
    <t>Израсходовано воды, (м.куб.)</t>
  </si>
  <si>
    <t>газ (м.куб.)</t>
  </si>
  <si>
    <t>тепловая энергия (Гкал)</t>
  </si>
  <si>
    <t>дрова (м.куб.)</t>
  </si>
  <si>
    <t>уголь (т.)</t>
  </si>
  <si>
    <t>Себестоимость</t>
  </si>
  <si>
    <t>Вода</t>
  </si>
  <si>
    <t>Водоотведение</t>
  </si>
  <si>
    <t>Затраты на покупную электроэнергию</t>
  </si>
  <si>
    <t>Расходы на топливо</t>
  </si>
  <si>
    <t>Транспортные расходы</t>
  </si>
  <si>
    <t>Расходы на оплату труда основного производственного персонала</t>
  </si>
  <si>
    <t>Отчисления на социальные нужды от расходов на оплату труда основного производственного персонала</t>
  </si>
  <si>
    <t>Амортизация основных средств</t>
  </si>
  <si>
    <t>Ремонт и техническое обслуживание</t>
  </si>
  <si>
    <t>Цеховые расходы, в том числе:</t>
  </si>
  <si>
    <t>заработная плата цехового персонала</t>
  </si>
  <si>
    <t>отчисления на соцнужды от заработной платы цехового персонала</t>
  </si>
  <si>
    <t>Прочие прямые расходы, всего</t>
  </si>
  <si>
    <t>Материалы</t>
  </si>
  <si>
    <t>Вывоз ТБО</t>
  </si>
  <si>
    <t>Прочие расходы, в том числе:</t>
  </si>
  <si>
    <t>связь</t>
  </si>
  <si>
    <t>Налоги</t>
  </si>
  <si>
    <t>техобсл.ккм</t>
  </si>
  <si>
    <t>Обшеэксплутационные расходы, в том числе:</t>
  </si>
  <si>
    <t>заработная плата АУП</t>
  </si>
  <si>
    <t>отчисления на соцнужды от заработной платы АУП</t>
  </si>
  <si>
    <t>Валовая прибыль</t>
  </si>
  <si>
    <t>Прибыль на развитие производства, в том числе: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</si>
  <si>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</si>
  <si>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</si>
  <si>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</si>
  <si>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</si>
  <si>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- всего, в том числе:</t>
  </si>
  <si>
    <t>на прибыль</t>
  </si>
  <si>
    <t>на имущество                             /"                             / \</t>
  </si>
  <si>
    <t>Товарная продукция без НДС</t>
  </si>
  <si>
    <t>Себестоимость 1 -го посещения (руб)</t>
  </si>
  <si>
    <t>Средний экономически обоснованный тариф 1-го посещения (руб. без НДС)</t>
  </si>
  <si>
    <t>Тариф для населения (руб., с НДС)</t>
  </si>
  <si>
    <t>дети (руб., с НДС)</t>
  </si>
  <si>
    <t>пенсионеры (руб., с НДС)</t>
  </si>
  <si>
    <t>Всего доходов с учётом дотаций (тыс. руб. с НДС)</t>
  </si>
  <si>
    <t>Дотации</t>
  </si>
  <si>
    <t>Финансовый результат</t>
  </si>
  <si>
    <t>По отчёту за соответсвующий период прошлого года</t>
  </si>
  <si>
    <t>Фактически с начала года</t>
  </si>
  <si>
    <r>
      <t>уголь</t>
    </r>
    <r>
      <rPr>
        <sz val="6"/>
        <rFont val="Times New Roman"/>
        <family val="1"/>
      </rPr>
      <t xml:space="preserve"> (Т.)</t>
    </r>
  </si>
  <si>
    <t>И.о.генеральнго директора</t>
  </si>
  <si>
    <t xml:space="preserve">Гл.бухгалтер </t>
  </si>
  <si>
    <t>О.А.Немцева</t>
  </si>
  <si>
    <t>13</t>
  </si>
  <si>
    <t>12.3</t>
  </si>
  <si>
    <t>Организации</t>
  </si>
  <si>
    <t>12.2</t>
  </si>
  <si>
    <t>12.1</t>
  </si>
  <si>
    <t>Всего доходов с учетом дотаций (тыс. руб. с НДС)</t>
  </si>
  <si>
    <t>тариф для населения (руб., с НДС)</t>
  </si>
  <si>
    <t>Средний экономически обоснованный тариф 1 м.куб. воды (руб. без НДС)</t>
  </si>
  <si>
    <t>Себестоимость 1 м.куб. воды (руб)</t>
  </si>
  <si>
    <t>на имущество</t>
  </si>
  <si>
    <t>7.5.2</t>
  </si>
  <si>
    <t>7.5.1</t>
  </si>
  <si>
    <t>7.5</t>
  </si>
  <si>
    <t>7.4</t>
  </si>
  <si>
    <t>7.3</t>
  </si>
  <si>
    <t>7.2</t>
  </si>
  <si>
    <t>7.1.1</t>
  </si>
  <si>
    <t>7.1</t>
  </si>
  <si>
    <t>6.11.6</t>
  </si>
  <si>
    <t>6.11.5</t>
  </si>
  <si>
    <t>6.11.4</t>
  </si>
  <si>
    <t>6.11.3</t>
  </si>
  <si>
    <t>6.11.2</t>
  </si>
  <si>
    <t>( приобретение воды со стороны)</t>
  </si>
  <si>
    <t>6.11.1</t>
  </si>
  <si>
    <t>6.11</t>
  </si>
  <si>
    <t>отчисления на соц.нужды от заработной платы АУП</t>
  </si>
  <si>
    <t>6.10.2</t>
  </si>
  <si>
    <t>6.10.1</t>
  </si>
  <si>
    <t>Общеэксплутационные расходы, в том числе:</t>
  </si>
  <si>
    <t>6.10</t>
  </si>
  <si>
    <t>Проведение АВР</t>
  </si>
  <si>
    <t>6.9</t>
  </si>
  <si>
    <t>покупка потерь</t>
  </si>
  <si>
    <t>6.8.1</t>
  </si>
  <si>
    <t>Покупная вода, в том числе:</t>
  </si>
  <si>
    <t>6.8</t>
  </si>
  <si>
    <t>отчисления на соц.нужды от заработной платы цехового персонала</t>
  </si>
  <si>
    <t>6.7.2</t>
  </si>
  <si>
    <t>6.7.1</t>
  </si>
  <si>
    <t>6.7</t>
  </si>
  <si>
    <t>отчисления на соц.нужды от заработной платы ремонтного персонала</t>
  </si>
  <si>
    <t>6.6.3</t>
  </si>
  <si>
    <t>заработная плата ремонтного персонала</t>
  </si>
  <si>
    <t>6.6.2</t>
  </si>
  <si>
    <t>капитальный ремонт основных средств</t>
  </si>
  <si>
    <t>6.6.1</t>
  </si>
  <si>
    <t>Ремонт и техническое обслуживание основных средств, в том числе:</t>
  </si>
  <si>
    <t>6.6</t>
  </si>
  <si>
    <t>6.5</t>
  </si>
  <si>
    <t>6.4</t>
  </si>
  <si>
    <t>6.3</t>
  </si>
  <si>
    <t>объем энергии (тыс.кВт.ч)</t>
  </si>
  <si>
    <t>6.2.5.1.2</t>
  </si>
  <si>
    <t>тариф на энергию (руб/кВт.ч)</t>
  </si>
  <si>
    <t>6.2.5.1.1</t>
  </si>
  <si>
    <t>энергия по свободным (нерегулируемым) ценам</t>
  </si>
  <si>
    <t>6.2.5.1</t>
  </si>
  <si>
    <t>6.2.1.1.2</t>
  </si>
  <si>
    <t>6.2.1.1.1</t>
  </si>
  <si>
    <t>энергия НН (0,4 кВ и ниже)</t>
  </si>
  <si>
    <t>6.2.1.1</t>
  </si>
  <si>
    <r>
      <t xml:space="preserve">Затраты </t>
    </r>
    <r>
      <rPr>
        <b/>
        <sz val="7"/>
        <rFont val="Times New Roman"/>
        <family val="1"/>
      </rPr>
      <t>на покупную электрическую энергию, по уровням напряжении:</t>
    </r>
  </si>
  <si>
    <t>6.2</t>
  </si>
  <si>
    <t>Реагенты</t>
  </si>
  <si>
    <t>6.1</t>
  </si>
  <si>
    <t>Прочие потребители</t>
  </si>
  <si>
    <t>1.5.2.2.3</t>
  </si>
  <si>
    <t>Население</t>
  </si>
  <si>
    <t>1.5.2.2.2</t>
  </si>
  <si>
    <t>Финансируемые из бюджетов всех уровней</t>
  </si>
  <si>
    <t>1.5.2.2.1</t>
  </si>
  <si>
    <t>Отпущено воды по категориям потребителей, всего</t>
  </si>
  <si>
    <t>1.5.2.2</t>
  </si>
  <si>
    <t>Расходы воды на нужды предприятия</t>
  </si>
  <si>
    <t>1.5.2.1</t>
  </si>
  <si>
    <t>Отпущено воды, всего</t>
  </si>
  <si>
    <t>1.5.2</t>
  </si>
  <si>
    <t>Потери воды</t>
  </si>
  <si>
    <t>1.5.1</t>
  </si>
  <si>
    <t>Подано воды в сеть, всего</t>
  </si>
  <si>
    <t>1.5</t>
  </si>
  <si>
    <t>Пропущено воды через очитные сооружения</t>
  </si>
  <si>
    <t>1.4</t>
  </si>
  <si>
    <t>Получено воды со стороны</t>
  </si>
  <si>
    <t>Расход воды на коммунально-бытовые нужды</t>
  </si>
  <si>
    <t>Поднято воды, всего</t>
  </si>
  <si>
    <t>1.1</t>
  </si>
  <si>
    <t>Натуральные показатели (м. куб.)</t>
  </si>
  <si>
    <t>Игримское МУП Тепловодоканал п.Ванзетур</t>
  </si>
  <si>
    <t>себестоимости отпущенной (потребленной) воды сетевой, без сетевой (заполнять раздельно)</t>
  </si>
  <si>
    <t>Гл.бухгалтер                                                              Немцева О.А.</t>
  </si>
  <si>
    <t>И.о.генеральнго директора                                         Абзалов Т.Х.</t>
  </si>
  <si>
    <t>в том числе от населения</t>
  </si>
  <si>
    <t>8</t>
  </si>
  <si>
    <t>прочие</t>
  </si>
  <si>
    <t>материалы</t>
  </si>
  <si>
    <t>ремонт и техническое обслуживание основных средств</t>
  </si>
  <si>
    <t>Затраты на покупную электрическую энергию, по уровням напряжения:</t>
  </si>
  <si>
    <t>13.2</t>
  </si>
  <si>
    <t>13.1.1</t>
  </si>
  <si>
    <t>13.1</t>
  </si>
  <si>
    <t>12.10.6</t>
  </si>
  <si>
    <t>12.10.5</t>
  </si>
  <si>
    <t>налоги</t>
  </si>
  <si>
    <t>12.10.4</t>
  </si>
  <si>
    <t>12.10.3</t>
  </si>
  <si>
    <t>12.10.2</t>
  </si>
  <si>
    <t>12.10 1.2</t>
  </si>
  <si>
    <t>12.10.1.1</t>
  </si>
  <si>
    <t>12.10.1</t>
  </si>
  <si>
    <t>12.10</t>
  </si>
  <si>
    <t>отчисления на соц. нужды от заработной платы цехового персонала</t>
  </si>
  <si>
    <t>12.9.2</t>
  </si>
  <si>
    <t>12.9.1</t>
  </si>
  <si>
    <t>12.9</t>
  </si>
  <si>
    <t>отчисления на соц. нужды от заработной платы ремонтного персонала</t>
  </si>
  <si>
    <t>12.8.3</t>
  </si>
  <si>
    <t>12.8.2</t>
  </si>
  <si>
    <t>12.8.1</t>
  </si>
  <si>
    <t>12.8</t>
  </si>
  <si>
    <t>12.7</t>
  </si>
  <si>
    <t>12.6</t>
  </si>
  <si>
    <t>12.5</t>
  </si>
  <si>
    <t>12.4</t>
  </si>
  <si>
    <t>Вода на технологические нужды</t>
  </si>
  <si>
    <t>11.3</t>
  </si>
  <si>
    <t>11.2</t>
  </si>
  <si>
    <t>11.1</t>
  </si>
  <si>
    <t>Отпущено тепловой энергии по категориям потребителей, всего (Гкал)</t>
  </si>
  <si>
    <t>Расходы тепловой энергии на нужды предприятия</t>
  </si>
  <si>
    <t>Потери тепловой энергии (Гкал)</t>
  </si>
  <si>
    <t>Подано тепловой энергии в сеть, всего (Гкал)</t>
  </si>
  <si>
    <t>Расход тепловой энергии на собственные нужды, (Гкал)</t>
  </si>
  <si>
    <t>Выработка тепловой энергии, всего (Гкал)</t>
  </si>
  <si>
    <t>Расход электроэнергии</t>
  </si>
  <si>
    <t>Расход воды (м.куб.)</t>
  </si>
  <si>
    <t>Расход природного газа (м.куб.)</t>
  </si>
  <si>
    <t>Расход угля (т.)</t>
  </si>
  <si>
    <t>себестоимости отпущенной тепловой энергии</t>
  </si>
  <si>
    <t>19</t>
  </si>
  <si>
    <t>18.3</t>
  </si>
  <si>
    <t>18.2</t>
  </si>
  <si>
    <t>18.1</t>
  </si>
  <si>
    <r>
      <t xml:space="preserve">Всего доходов с учётом дотаций (тыс. </t>
    </r>
    <r>
      <rPr>
        <sz val="7"/>
        <rFont val="Times New Roman"/>
        <family val="1"/>
      </rPr>
      <t xml:space="preserve">руб. </t>
    </r>
    <r>
      <rPr>
        <b/>
        <sz val="7"/>
        <rFont val="Times New Roman"/>
        <family val="1"/>
      </rPr>
      <t>с НДС)</t>
    </r>
  </si>
  <si>
    <t>18</t>
  </si>
  <si>
    <t>тариф для населения (руб., с НДС) с уровн 82%</t>
  </si>
  <si>
    <t>17</t>
  </si>
  <si>
    <t>Средний экономически обоснованный тариф 1 Гкал отпущенной тепловой энергии (руб. без НДС)</t>
  </si>
  <si>
    <t>16</t>
  </si>
  <si>
    <t>Себестоимость 1 Гкал отпущенной тепловой энергии (руб)</t>
  </si>
  <si>
    <t>15</t>
  </si>
  <si>
    <t>14</t>
  </si>
  <si>
    <t>13.5.2</t>
  </si>
  <si>
    <t>13.5.1</t>
  </si>
  <si>
    <r>
      <t xml:space="preserve">Налоги, сборы, платежи - всего, </t>
    </r>
    <r>
      <rPr>
        <b/>
        <sz val="7"/>
        <rFont val="Times New Roman"/>
        <family val="1"/>
      </rPr>
      <t xml:space="preserve">в </t>
    </r>
    <r>
      <rPr>
        <sz val="7"/>
        <rFont val="Times New Roman"/>
        <family val="1"/>
      </rPr>
      <t>том числе:</t>
    </r>
  </si>
  <si>
    <t>13.5</t>
  </si>
  <si>
    <t>13.4</t>
  </si>
  <si>
    <t>13.3</t>
  </si>
  <si>
    <t>Отпущено тепловой энергии, всего (Гкал)</t>
  </si>
  <si>
    <r>
      <t xml:space="preserve">Финансовый </t>
    </r>
    <r>
      <rPr>
        <sz val="7"/>
        <rFont val="Times New Roman"/>
        <family val="1"/>
      </rPr>
      <t>результат</t>
    </r>
  </si>
  <si>
    <t>Всего доходов с учётом дотаций (тыс. РУб. с НДС)</t>
  </si>
  <si>
    <t>Прочие прямые расходы, всего в т. Ч</t>
  </si>
  <si>
    <t>2.11</t>
  </si>
  <si>
    <t>2.10.2</t>
  </si>
  <si>
    <t>2.10.1</t>
  </si>
  <si>
    <t>2.10</t>
  </si>
  <si>
    <t>2.9</t>
  </si>
  <si>
    <t>2.6.3</t>
  </si>
  <si>
    <t>2.6.2</t>
  </si>
  <si>
    <t>2.6.1</t>
  </si>
  <si>
    <t>2.6</t>
  </si>
  <si>
    <t>2.5</t>
  </si>
  <si>
    <t>2.4</t>
  </si>
  <si>
    <t>2.3</t>
  </si>
  <si>
    <t>2.2.5.1.2</t>
  </si>
  <si>
    <t>2.2.5.1.1</t>
  </si>
  <si>
    <t>2.2.5.1</t>
  </si>
  <si>
    <t>2.2.1.1.2</t>
  </si>
  <si>
    <t>2.2.1.1.1</t>
  </si>
  <si>
    <t>2.2.1.1</t>
  </si>
  <si>
    <t>2.2</t>
  </si>
  <si>
    <t>2.1</t>
  </si>
  <si>
    <t>1.2.3</t>
  </si>
  <si>
    <t>1.2.2</t>
  </si>
  <si>
    <t>1.2.1</t>
  </si>
  <si>
    <t>По категорям потребителей, всего</t>
  </si>
  <si>
    <t>1.1.1</t>
  </si>
  <si>
    <t>8.3</t>
  </si>
  <si>
    <t>8.2</t>
  </si>
  <si>
    <t>8.1</t>
  </si>
  <si>
    <t>Средний экономически обоснованный тариф 1 м.куб. сточных вод (руб. без НДС)</t>
  </si>
  <si>
    <t>3.5.2</t>
  </si>
  <si>
    <t>3.5</t>
  </si>
  <si>
    <t>3.3</t>
  </si>
  <si>
    <t>3.1.1</t>
  </si>
  <si>
    <t>2.11.6</t>
  </si>
  <si>
    <t>Израсходовано топлива, в том числе</t>
  </si>
  <si>
    <t>себестоимости водоотведения, вывоза жидких бытовых отходов (заполняется раздельно)</t>
  </si>
  <si>
    <t>Пропущенно сточных вод, всего</t>
  </si>
  <si>
    <t>Хозяйственные нужды предеприятия</t>
  </si>
  <si>
    <t>Принято сточных вод от других канализаций или отдельных канализационных сетей</t>
  </si>
  <si>
    <t>Пропущено через собственные очистные сооружения</t>
  </si>
  <si>
    <t xml:space="preserve">    текущий ремонт основных средств</t>
  </si>
  <si>
    <t xml:space="preserve">    заработная плата ремонтного персонала</t>
  </si>
  <si>
    <t xml:space="preserve">    отчисления на соц.нужды от заработной платы ремонтного персонала</t>
  </si>
  <si>
    <t>2.7</t>
  </si>
  <si>
    <t>2.7.1</t>
  </si>
  <si>
    <t xml:space="preserve">     заработная плата цехового персонала</t>
  </si>
  <si>
    <t>2.7.2</t>
  </si>
  <si>
    <t xml:space="preserve">    отчисления на соц.нужды от заработной платы цехового персонала</t>
  </si>
  <si>
    <t xml:space="preserve">    заработная плата АУП</t>
  </si>
  <si>
    <t xml:space="preserve">    отчисления на соц.нужды от заработной платы АУП</t>
  </si>
  <si>
    <t>2.11.1</t>
  </si>
  <si>
    <t>2.11.2</t>
  </si>
  <si>
    <t>2.11.3</t>
  </si>
  <si>
    <t>2.11.4</t>
  </si>
  <si>
    <t>2.11.5</t>
  </si>
  <si>
    <t>2.11.7</t>
  </si>
  <si>
    <t xml:space="preserve">Прибыль на развитие производства, в том числе: </t>
  </si>
  <si>
    <t xml:space="preserve">капитальные вложения </t>
  </si>
  <si>
    <t xml:space="preserve">Прибыль на социальное развитие </t>
  </si>
  <si>
    <t>3.4</t>
  </si>
  <si>
    <t>3.5.1</t>
  </si>
  <si>
    <t xml:space="preserve">  на прибыль</t>
  </si>
  <si>
    <t xml:space="preserve">  на имущество</t>
  </si>
  <si>
    <t xml:space="preserve">Себестоимость 1 м.куб. пропущенных сточных вод (руб) </t>
  </si>
  <si>
    <t>Т.Х.Абзалов</t>
  </si>
  <si>
    <t xml:space="preserve">И.о. начальника ПЭО </t>
  </si>
  <si>
    <t>А.В.Безенков</t>
  </si>
  <si>
    <t>И.о. начальника ПЭО                                                Безенков А.В.</t>
  </si>
  <si>
    <t>транспорт</t>
  </si>
  <si>
    <t>и том числе от населения</t>
  </si>
  <si>
    <t>Расходы на топливо (уголь)</t>
  </si>
  <si>
    <t xml:space="preserve"> ремонт основных средств</t>
  </si>
  <si>
    <t xml:space="preserve">Расходы на топливо. </t>
  </si>
  <si>
    <t>Прочне расходы в т.ч</t>
  </si>
  <si>
    <t>Общеэксплуатационные расходы, в том числе:</t>
  </si>
  <si>
    <t>Расход на канализацию</t>
  </si>
  <si>
    <t>12.9.1.</t>
  </si>
  <si>
    <t>12.10.</t>
  </si>
  <si>
    <t>12.11.</t>
  </si>
  <si>
    <t>12.10.1.</t>
  </si>
  <si>
    <t>12.10.2.</t>
  </si>
  <si>
    <t>12.11.1.</t>
  </si>
  <si>
    <t>12.11.2.</t>
  </si>
  <si>
    <t>12.11.3.</t>
  </si>
  <si>
    <t>12.11.4.</t>
  </si>
  <si>
    <t>12.11.5.</t>
  </si>
  <si>
    <t>12.11.6.</t>
  </si>
  <si>
    <t>12.11.7.</t>
  </si>
  <si>
    <t xml:space="preserve">тепловая энергия </t>
  </si>
  <si>
    <t>дератизация и др.</t>
  </si>
  <si>
    <t>покрытие расходов дотацией</t>
  </si>
  <si>
    <t>Утилизация (захоронение TliO)</t>
  </si>
  <si>
    <t>Пропущено воды через очистные сооружения</t>
  </si>
  <si>
    <t>Ремонтно техническое обслуживание основных средств, в том числе:</t>
  </si>
  <si>
    <t>коммунальные расходы</t>
  </si>
  <si>
    <t>утилизация</t>
  </si>
  <si>
    <t>отпуска, медосмотры, спецодежда и пр.</t>
  </si>
  <si>
    <t>спецжиры, анализ воды, медосмотры, спец одежда</t>
  </si>
  <si>
    <t>проведение экспертизы</t>
  </si>
  <si>
    <t>медосмотр, подотчетные, спец од., спец жир</t>
  </si>
  <si>
    <t>12.11.8.</t>
  </si>
  <si>
    <t>коммунальные платежи</t>
  </si>
  <si>
    <t>материалы, газ, гсм</t>
  </si>
  <si>
    <t>Отпушено тепловой энергии, всего (Гкал)</t>
  </si>
  <si>
    <r>
      <t>Отчетная калькуляции за</t>
    </r>
    <r>
      <rPr>
        <b/>
        <u val="single"/>
        <sz val="7"/>
        <rFont val="Times New Roman"/>
        <family val="1"/>
      </rPr>
      <t xml:space="preserve">  1 квартал </t>
    </r>
    <r>
      <rPr>
        <b/>
        <u val="single"/>
        <sz val="7"/>
        <rFont val="Times New Roman"/>
        <family val="1"/>
      </rPr>
      <t xml:space="preserve"> 2013 г</t>
    </r>
  </si>
  <si>
    <t xml:space="preserve">Генеральный директор </t>
  </si>
  <si>
    <t>И.о. главного бухгалтера</t>
  </si>
  <si>
    <t>Безенков А.В.</t>
  </si>
  <si>
    <t>Вилкова О.А.</t>
  </si>
  <si>
    <t>Начальник ПЭО</t>
  </si>
  <si>
    <t>Жигунова Н.А.</t>
  </si>
  <si>
    <r>
      <t xml:space="preserve">Отчетная калькуляция </t>
    </r>
    <r>
      <rPr>
        <b/>
        <u val="single"/>
        <sz val="9"/>
        <rFont val="Times New Roman"/>
        <family val="1"/>
      </rPr>
      <t>за 1 квартал 2013 г</t>
    </r>
  </si>
  <si>
    <r>
      <t xml:space="preserve">Отчетная калькуляция </t>
    </r>
    <r>
      <rPr>
        <b/>
        <u val="single"/>
        <sz val="9"/>
        <rFont val="Times New Roman"/>
        <family val="1"/>
      </rPr>
      <t>за 1 квартал 2013 год</t>
    </r>
  </si>
  <si>
    <t>3. 4.</t>
  </si>
  <si>
    <t>4 3</t>
  </si>
  <si>
    <r>
      <t>Отчетная калькуляция</t>
    </r>
    <r>
      <rPr>
        <b/>
        <u val="single"/>
        <sz val="10"/>
        <rFont val="Times New Roman"/>
        <family val="1"/>
      </rPr>
      <t xml:space="preserve"> за   1 квартал 2013г</t>
    </r>
  </si>
  <si>
    <t>-</t>
  </si>
  <si>
    <t>1.1.2.</t>
  </si>
  <si>
    <t>Потери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</si>
</sst>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0"/>
    <numFmt numFmtId="170" formatCode="0.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7"/>
      <name val="Times New Roman"/>
      <family val="1"/>
    </font>
    <font>
      <b/>
      <i/>
      <sz val="6"/>
      <name val="Palatino Linotyp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sz val="9"/>
      <name val="CG Times"/>
      <family val="1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Sylfaen"/>
      <family val="1"/>
    </font>
    <font>
      <sz val="7"/>
      <name val="Arial"/>
      <family val="2"/>
    </font>
    <font>
      <sz val="8"/>
      <color indexed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2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left" vertical="top" indent="2"/>
      <protection/>
    </xf>
    <xf numFmtId="0" fontId="17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"/>
      <protection/>
    </xf>
    <xf numFmtId="0" fontId="16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top" indent="8"/>
      <protection/>
    </xf>
    <xf numFmtId="0" fontId="2" fillId="0" borderId="10" xfId="0" applyNumberFormat="1" applyFont="1" applyFill="1" applyBorder="1" applyAlignment="1" applyProtection="1">
      <alignment horizontal="left" vertical="top" indent="15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9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 inden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left" vertical="top" indent="7"/>
      <protection/>
    </xf>
    <xf numFmtId="0" fontId="16" fillId="0" borderId="10" xfId="0" applyNumberFormat="1" applyFont="1" applyFill="1" applyBorder="1" applyAlignment="1" applyProtection="1">
      <alignment horizontal="left" vertical="top" indent="15"/>
      <protection/>
    </xf>
    <xf numFmtId="0" fontId="16" fillId="0" borderId="10" xfId="0" applyNumberFormat="1" applyFont="1" applyFill="1" applyBorder="1" applyAlignment="1" applyProtection="1">
      <alignment horizontal="left" vertical="top" indent="9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3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2"/>
      <protection/>
    </xf>
    <xf numFmtId="0" fontId="22" fillId="0" borderId="10" xfId="0" applyNumberFormat="1" applyFont="1" applyFill="1" applyBorder="1" applyAlignment="1" applyProtection="1">
      <alignment horizontal="left" vertical="top" indent="2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25" fillId="0" borderId="10" xfId="52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49" fontId="25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10" xfId="0" applyFont="1" applyFill="1" applyBorder="1" applyAlignment="1">
      <alignment horizontal="left" vertical="center" wrapText="1"/>
    </xf>
    <xf numFmtId="0" fontId="0" fillId="34" borderId="0" xfId="0" applyNumberFormat="1" applyFont="1" applyFill="1" applyBorder="1" applyAlignment="1" applyProtection="1">
      <alignment vertical="top"/>
      <protection/>
    </xf>
    <xf numFmtId="2" fontId="15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6" fillId="34" borderId="10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vertical="top"/>
      <protection/>
    </xf>
    <xf numFmtId="0" fontId="1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 applyProtection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2" fontId="15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14" fillId="34" borderId="10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16" fillId="34" borderId="10" xfId="0" applyNumberFormat="1" applyFont="1" applyFill="1" applyBorder="1" applyAlignment="1" applyProtection="1">
      <alignment horizontal="center" vertical="top"/>
      <protection/>
    </xf>
    <xf numFmtId="0" fontId="16" fillId="34" borderId="10" xfId="0" applyNumberFormat="1" applyFont="1" applyFill="1" applyBorder="1" applyAlignment="1" applyProtection="1">
      <alignment horizontal="left" vertical="top"/>
      <protection/>
    </xf>
    <xf numFmtId="0" fontId="17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 applyProtection="1">
      <alignment horizontal="center" vertical="top"/>
      <protection/>
    </xf>
    <xf numFmtId="0" fontId="20" fillId="34" borderId="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left" vertical="top" indent="4"/>
      <protection/>
    </xf>
    <xf numFmtId="0" fontId="12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16" fontId="14" fillId="0" borderId="10" xfId="0" applyNumberFormat="1" applyFont="1" applyFill="1" applyBorder="1" applyAlignment="1" applyProtection="1">
      <alignment horizontal="center" vertical="top"/>
      <protection/>
    </xf>
    <xf numFmtId="14" fontId="14" fillId="0" borderId="10" xfId="0" applyNumberFormat="1" applyFont="1" applyFill="1" applyBorder="1" applyAlignment="1" applyProtection="1">
      <alignment horizontal="center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21" fillId="34" borderId="10" xfId="0" applyNumberFormat="1" applyFont="1" applyFill="1" applyBorder="1" applyAlignment="1" applyProtection="1">
      <alignment horizontal="center" vertical="top"/>
      <protection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left" vertical="top" indent="7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indent="11"/>
      <protection/>
    </xf>
    <xf numFmtId="0" fontId="4" fillId="34" borderId="10" xfId="0" applyNumberFormat="1" applyFont="1" applyFill="1" applyBorder="1" applyAlignment="1" applyProtection="1">
      <alignment horizontal="left" vertical="top" indent="4"/>
      <protection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indent="1"/>
      <protection/>
    </xf>
    <xf numFmtId="0" fontId="15" fillId="34" borderId="10" xfId="0" applyFont="1" applyFill="1" applyBorder="1" applyAlignment="1">
      <alignment horizontal="center"/>
    </xf>
    <xf numFmtId="0" fontId="8" fillId="34" borderId="0" xfId="0" applyNumberFormat="1" applyFont="1" applyFill="1" applyBorder="1" applyAlignment="1" applyProtection="1">
      <alignment vertical="top"/>
      <protection/>
    </xf>
    <xf numFmtId="0" fontId="3" fillId="34" borderId="0" xfId="0" applyNumberFormat="1" applyFont="1" applyFill="1" applyBorder="1" applyAlignment="1" applyProtection="1">
      <alignment horizontal="right" vertical="top"/>
      <protection/>
    </xf>
    <xf numFmtId="0" fontId="16" fillId="34" borderId="1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vertical="top"/>
      <protection/>
    </xf>
    <xf numFmtId="0" fontId="29" fillId="34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2" fontId="26" fillId="34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34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2" fontId="0" fillId="34" borderId="0" xfId="0" applyNumberFormat="1" applyFont="1" applyFill="1" applyBorder="1" applyAlignment="1" applyProtection="1">
      <alignment vertical="top"/>
      <protection/>
    </xf>
    <xf numFmtId="49" fontId="3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31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31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31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2" fontId="32" fillId="34" borderId="10" xfId="0" applyNumberFormat="1" applyFont="1" applyFill="1" applyBorder="1" applyAlignment="1" applyProtection="1">
      <alignment horizontal="center" vertical="center"/>
      <protection/>
    </xf>
    <xf numFmtId="2" fontId="15" fillId="34" borderId="10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top"/>
      <protection/>
    </xf>
    <xf numFmtId="2" fontId="2" fillId="34" borderId="10" xfId="0" applyNumberFormat="1" applyFont="1" applyFill="1" applyBorder="1" applyAlignment="1" applyProtection="1">
      <alignment horizontal="center" vertical="top"/>
      <protection/>
    </xf>
    <xf numFmtId="2" fontId="15" fillId="34" borderId="10" xfId="0" applyNumberFormat="1" applyFont="1" applyFill="1" applyBorder="1" applyAlignment="1" applyProtection="1">
      <alignment horizontal="center" vertical="top"/>
      <protection/>
    </xf>
    <xf numFmtId="2" fontId="14" fillId="34" borderId="10" xfId="0" applyNumberFormat="1" applyFont="1" applyFill="1" applyBorder="1" applyAlignment="1" applyProtection="1">
      <alignment horizontal="center" vertical="top"/>
      <protection/>
    </xf>
    <xf numFmtId="0" fontId="9" fillId="34" borderId="10" xfId="0" applyNumberFormat="1" applyFont="1" applyFill="1" applyBorder="1" applyAlignment="1" applyProtection="1">
      <alignment horizontal="center" vertical="top"/>
      <protection/>
    </xf>
    <xf numFmtId="0" fontId="15" fillId="34" borderId="10" xfId="0" applyNumberFormat="1" applyFont="1" applyFill="1" applyBorder="1" applyAlignment="1" applyProtection="1">
      <alignment horizontal="left" vertical="top"/>
      <protection/>
    </xf>
    <xf numFmtId="0" fontId="16" fillId="34" borderId="10" xfId="0" applyNumberFormat="1" applyFont="1" applyFill="1" applyBorder="1" applyAlignment="1" applyProtection="1">
      <alignment horizontal="left" vertical="top" indent="4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164" fontId="16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13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2" fontId="16" fillId="34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33" fillId="34" borderId="10" xfId="0" applyNumberFormat="1" applyFont="1" applyFill="1" applyBorder="1" applyAlignment="1" applyProtection="1">
      <alignment horizontal="center" vertical="top"/>
      <protection/>
    </xf>
    <xf numFmtId="2" fontId="15" fillId="34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top"/>
      <protection/>
    </xf>
    <xf numFmtId="2" fontId="33" fillId="34" borderId="10" xfId="0" applyNumberFormat="1" applyFont="1" applyFill="1" applyBorder="1" applyAlignment="1" applyProtection="1">
      <alignment horizontal="center" vertical="top"/>
      <protection/>
    </xf>
    <xf numFmtId="2" fontId="9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Font="1" applyBorder="1" applyAlignment="1">
      <alignment horizontal="center" vertical="center" wrapText="1"/>
    </xf>
    <xf numFmtId="0" fontId="72" fillId="34" borderId="10" xfId="0" applyNumberFormat="1" applyFont="1" applyFill="1" applyBorder="1" applyAlignment="1" applyProtection="1">
      <alignment horizontal="center" vertical="center"/>
      <protection/>
    </xf>
    <xf numFmtId="0" fontId="73" fillId="34" borderId="10" xfId="0" applyNumberFormat="1" applyFont="1" applyFill="1" applyBorder="1" applyAlignment="1" applyProtection="1">
      <alignment horizontal="center" vertical="center"/>
      <protection/>
    </xf>
    <xf numFmtId="2" fontId="17" fillId="34" borderId="10" xfId="0" applyNumberFormat="1" applyFont="1" applyFill="1" applyBorder="1" applyAlignment="1">
      <alignment/>
    </xf>
    <xf numFmtId="166" fontId="12" fillId="34" borderId="10" xfId="0" applyNumberFormat="1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2" fontId="74" fillId="34" borderId="10" xfId="0" applyNumberFormat="1" applyFont="1" applyFill="1" applyBorder="1" applyAlignment="1">
      <alignment horizontal="center" vertical="center" wrapText="1"/>
    </xf>
    <xf numFmtId="2" fontId="73" fillId="34" borderId="1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34" fillId="34" borderId="10" xfId="0" applyFont="1" applyFill="1" applyBorder="1" applyAlignment="1">
      <alignment/>
    </xf>
    <xf numFmtId="2" fontId="16" fillId="34" borderId="14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>
      <alignment vertical="center"/>
    </xf>
    <xf numFmtId="166" fontId="16" fillId="34" borderId="10" xfId="0" applyNumberFormat="1" applyFont="1" applyFill="1" applyBorder="1" applyAlignment="1">
      <alignment horizontal="center" vertical="center"/>
    </xf>
    <xf numFmtId="0" fontId="27" fillId="34" borderId="0" xfId="0" applyFont="1" applyFill="1" applyAlignment="1">
      <alignment vertical="center"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26" fillId="34" borderId="10" xfId="0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 applyProtection="1">
      <alignment horizontal="center" vertical="top"/>
      <protection/>
    </xf>
    <xf numFmtId="0" fontId="29" fillId="34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top" wrapText="1"/>
      <protection/>
    </xf>
    <xf numFmtId="2" fontId="1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166" fontId="6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 applyProtection="1">
      <alignment horizontal="center" vertical="top"/>
      <protection/>
    </xf>
    <xf numFmtId="2" fontId="35" fillId="34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om kompleks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3"/>
  <sheetViews>
    <sheetView zoomScale="120" zoomScaleNormal="120" zoomScalePageLayoutView="0" workbookViewId="0" topLeftCell="A29">
      <selection activeCell="A1" sqref="A1:D72"/>
    </sheetView>
  </sheetViews>
  <sheetFormatPr defaultColWidth="9.140625" defaultRowHeight="12.75"/>
  <cols>
    <col min="1" max="1" width="6.28125" style="0" customWidth="1"/>
    <col min="2" max="2" width="40.00390625" style="66" customWidth="1"/>
    <col min="3" max="3" width="13.421875" style="66" customWidth="1"/>
    <col min="4" max="4" width="12.421875" style="66" customWidth="1"/>
  </cols>
  <sheetData>
    <row r="1" spans="1:4" ht="12.75">
      <c r="A1" s="203" t="s">
        <v>384</v>
      </c>
      <c r="B1" s="203"/>
      <c r="C1" s="203"/>
      <c r="D1" s="203"/>
    </row>
    <row r="2" spans="1:4" ht="12.75">
      <c r="A2" s="203" t="s">
        <v>0</v>
      </c>
      <c r="B2" s="203"/>
      <c r="C2" s="203"/>
      <c r="D2" s="203"/>
    </row>
    <row r="3" spans="1:4" ht="9" customHeight="1">
      <c r="A3" s="203" t="s">
        <v>1</v>
      </c>
      <c r="B3" s="203"/>
      <c r="C3" s="203"/>
      <c r="D3" s="203"/>
    </row>
    <row r="4" ht="2.25" customHeight="1"/>
    <row r="5" ht="12.75">
      <c r="D5" s="113" t="s">
        <v>2</v>
      </c>
    </row>
    <row r="6" spans="1:4" ht="29.25">
      <c r="A6" s="1" t="s">
        <v>3</v>
      </c>
      <c r="B6" s="105" t="s">
        <v>60</v>
      </c>
      <c r="C6" s="106" t="s">
        <v>112</v>
      </c>
      <c r="D6" s="106" t="s">
        <v>111</v>
      </c>
    </row>
    <row r="7" spans="1:4" ht="12.75">
      <c r="A7" s="1" t="s">
        <v>4</v>
      </c>
      <c r="B7" s="107" t="s">
        <v>8</v>
      </c>
      <c r="C7" s="77" t="s">
        <v>9</v>
      </c>
      <c r="D7" s="108" t="s">
        <v>13</v>
      </c>
    </row>
    <row r="8" spans="1:4" ht="12.75">
      <c r="A8" s="1" t="s">
        <v>4</v>
      </c>
      <c r="B8" s="78" t="s">
        <v>61</v>
      </c>
      <c r="C8" s="72">
        <v>3391</v>
      </c>
      <c r="D8" s="136">
        <v>3388</v>
      </c>
    </row>
    <row r="9" spans="1:4" ht="12.75">
      <c r="A9" s="1" t="s">
        <v>5</v>
      </c>
      <c r="B9" s="78" t="s">
        <v>62</v>
      </c>
      <c r="C9" s="114">
        <v>116</v>
      </c>
      <c r="D9" s="137">
        <v>244</v>
      </c>
    </row>
    <row r="10" spans="1:4" ht="12.75">
      <c r="A10" s="1" t="s">
        <v>6</v>
      </c>
      <c r="B10" s="78" t="s">
        <v>63</v>
      </c>
      <c r="C10" s="114">
        <v>1393</v>
      </c>
      <c r="D10" s="137">
        <v>1755</v>
      </c>
    </row>
    <row r="11" spans="1:4" ht="12.75">
      <c r="A11" s="1" t="s">
        <v>7</v>
      </c>
      <c r="B11" s="78" t="s">
        <v>64</v>
      </c>
      <c r="C11" s="114">
        <v>1882</v>
      </c>
      <c r="D11" s="137">
        <v>1389</v>
      </c>
    </row>
    <row r="12" spans="1:4" ht="12.75">
      <c r="A12" s="1" t="s">
        <v>8</v>
      </c>
      <c r="B12" s="78" t="s">
        <v>65</v>
      </c>
      <c r="C12" s="111">
        <v>1900.1</v>
      </c>
      <c r="D12" s="138">
        <v>2314.5</v>
      </c>
    </row>
    <row r="13" spans="1:4" ht="12.75">
      <c r="A13" s="1" t="s">
        <v>9</v>
      </c>
      <c r="B13" s="78" t="s">
        <v>314</v>
      </c>
      <c r="C13" s="111">
        <v>432.94</v>
      </c>
      <c r="D13" s="138">
        <v>170.08</v>
      </c>
    </row>
    <row r="14" spans="1:4" ht="12.75">
      <c r="A14" s="1" t="s">
        <v>10</v>
      </c>
      <c r="B14" s="78" t="s">
        <v>66</v>
      </c>
      <c r="C14" s="114"/>
      <c r="D14" s="137"/>
    </row>
    <row r="15" spans="1:4" ht="12.75">
      <c r="A15" s="1" t="s">
        <v>11</v>
      </c>
      <c r="B15" s="78" t="s">
        <v>67</v>
      </c>
      <c r="C15" s="114">
        <v>161.74</v>
      </c>
      <c r="D15" s="134">
        <v>170.08</v>
      </c>
    </row>
    <row r="16" spans="1:4" ht="12.75">
      <c r="A16" s="1" t="s">
        <v>12</v>
      </c>
      <c r="B16" s="78" t="s">
        <v>68</v>
      </c>
      <c r="C16" s="114"/>
      <c r="D16" s="137"/>
    </row>
    <row r="17" spans="1:4" ht="12.75">
      <c r="A17" s="1" t="s">
        <v>393</v>
      </c>
      <c r="B17" s="78" t="s">
        <v>69</v>
      </c>
      <c r="C17" s="114"/>
      <c r="D17" s="137"/>
    </row>
    <row r="18" spans="1:5" ht="12.75">
      <c r="A18" s="77" t="s">
        <v>13</v>
      </c>
      <c r="B18" s="78" t="s">
        <v>70</v>
      </c>
      <c r="C18" s="67">
        <f>C19+C20+C21+C24+C28+C29+C30+C32+C36+C45+C39</f>
        <v>682.5559999999999</v>
      </c>
      <c r="D18" s="67">
        <v>688.62</v>
      </c>
      <c r="E18" s="47"/>
    </row>
    <row r="19" spans="1:5" ht="12.75">
      <c r="A19" s="1" t="s">
        <v>14</v>
      </c>
      <c r="B19" s="78" t="s">
        <v>71</v>
      </c>
      <c r="C19" s="111">
        <v>53.98</v>
      </c>
      <c r="D19" s="134">
        <v>59.25</v>
      </c>
      <c r="E19" s="47"/>
    </row>
    <row r="20" spans="1:4" ht="12.75">
      <c r="A20" s="1" t="s">
        <v>15</v>
      </c>
      <c r="B20" s="78" t="s">
        <v>72</v>
      </c>
      <c r="C20" s="111">
        <v>71.63</v>
      </c>
      <c r="D20" s="134">
        <v>78.5</v>
      </c>
    </row>
    <row r="21" spans="1:7" ht="12.75">
      <c r="A21" s="1" t="s">
        <v>394</v>
      </c>
      <c r="B21" s="78" t="s">
        <v>73</v>
      </c>
      <c r="C21" s="111">
        <v>4.1</v>
      </c>
      <c r="D21" s="137">
        <v>2.83</v>
      </c>
      <c r="G21" s="47"/>
    </row>
    <row r="22" spans="1:4" ht="12.75" hidden="1">
      <c r="A22" s="1" t="s">
        <v>16</v>
      </c>
      <c r="B22" s="78" t="s">
        <v>74</v>
      </c>
      <c r="C22" s="111"/>
      <c r="D22" s="137"/>
    </row>
    <row r="23" spans="1:4" ht="12.75" hidden="1">
      <c r="A23" s="1" t="s">
        <v>17</v>
      </c>
      <c r="B23" s="78" t="s">
        <v>66</v>
      </c>
      <c r="C23" s="111"/>
      <c r="D23" s="137"/>
    </row>
    <row r="24" spans="1:4" ht="12.75">
      <c r="A24" s="1" t="s">
        <v>18</v>
      </c>
      <c r="B24" s="78" t="s">
        <v>368</v>
      </c>
      <c r="C24" s="111">
        <v>176.06</v>
      </c>
      <c r="D24" s="134">
        <v>185.1</v>
      </c>
    </row>
    <row r="25" spans="1:4" ht="12.75" hidden="1">
      <c r="A25" s="1" t="s">
        <v>19</v>
      </c>
      <c r="B25" s="78" t="s">
        <v>68</v>
      </c>
      <c r="C25" s="111"/>
      <c r="D25" s="137"/>
    </row>
    <row r="26" spans="1:4" ht="12.75" hidden="1">
      <c r="A26" s="1" t="s">
        <v>20</v>
      </c>
      <c r="B26" s="78" t="s">
        <v>113</v>
      </c>
      <c r="C26" s="114"/>
      <c r="D26" s="137"/>
    </row>
    <row r="27" spans="1:4" ht="12.75" hidden="1">
      <c r="A27" s="1" t="s">
        <v>21</v>
      </c>
      <c r="B27" s="78" t="s">
        <v>75</v>
      </c>
      <c r="C27" s="114"/>
      <c r="D27" s="137"/>
    </row>
    <row r="28" spans="1:4" ht="12.75">
      <c r="A28" s="1" t="s">
        <v>22</v>
      </c>
      <c r="B28" s="78" t="s">
        <v>76</v>
      </c>
      <c r="C28" s="111">
        <v>126.9</v>
      </c>
      <c r="D28" s="137">
        <v>124.2</v>
      </c>
    </row>
    <row r="29" spans="1:4" ht="19.5">
      <c r="A29" s="1" t="s">
        <v>23</v>
      </c>
      <c r="B29" s="109" t="s">
        <v>77</v>
      </c>
      <c r="C29" s="111">
        <v>37.25</v>
      </c>
      <c r="D29" s="137">
        <v>36.7</v>
      </c>
    </row>
    <row r="30" spans="1:7" ht="12.75">
      <c r="A30" s="1" t="s">
        <v>24</v>
      </c>
      <c r="B30" s="78" t="s">
        <v>78</v>
      </c>
      <c r="C30" s="111">
        <v>0.036</v>
      </c>
      <c r="D30" s="137">
        <v>3.35</v>
      </c>
      <c r="G30" s="47"/>
    </row>
    <row r="31" spans="1:4" ht="12.75">
      <c r="A31" s="1" t="s">
        <v>25</v>
      </c>
      <c r="B31" s="78" t="s">
        <v>79</v>
      </c>
      <c r="C31" s="114"/>
      <c r="D31" s="137"/>
    </row>
    <row r="32" spans="1:4" ht="12.75">
      <c r="A32" s="1" t="s">
        <v>26</v>
      </c>
      <c r="B32" s="78" t="s">
        <v>80</v>
      </c>
      <c r="C32" s="67">
        <v>105.23</v>
      </c>
      <c r="D32" s="67">
        <v>114.63</v>
      </c>
    </row>
    <row r="33" spans="1:4" ht="12.75">
      <c r="A33" s="1" t="s">
        <v>27</v>
      </c>
      <c r="B33" s="110" t="s">
        <v>81</v>
      </c>
      <c r="C33" s="114">
        <v>80.77</v>
      </c>
      <c r="D33" s="131">
        <v>84.66</v>
      </c>
    </row>
    <row r="34" spans="1:4" ht="12.75">
      <c r="A34" s="1" t="s">
        <v>28</v>
      </c>
      <c r="B34" s="78" t="s">
        <v>82</v>
      </c>
      <c r="C34" s="114">
        <v>24.46</v>
      </c>
      <c r="D34" s="131">
        <f>D33*30.2%</f>
        <v>25.56732</v>
      </c>
    </row>
    <row r="35" spans="1:4" ht="12.75">
      <c r="A35" s="1" t="s">
        <v>29</v>
      </c>
      <c r="B35" s="78" t="s">
        <v>83</v>
      </c>
      <c r="C35" s="67"/>
      <c r="D35" s="67">
        <f>D36</f>
        <v>0.69</v>
      </c>
    </row>
    <row r="36" spans="1:4" ht="12.75">
      <c r="A36" s="1" t="s">
        <v>30</v>
      </c>
      <c r="B36" s="78" t="s">
        <v>84</v>
      </c>
      <c r="C36" s="114">
        <v>11.88</v>
      </c>
      <c r="D36" s="139">
        <v>0.69</v>
      </c>
    </row>
    <row r="37" spans="1:4" ht="12.75">
      <c r="A37" s="1" t="s">
        <v>31</v>
      </c>
      <c r="B37" s="78" t="s">
        <v>85</v>
      </c>
      <c r="C37" s="114"/>
      <c r="D37" s="137"/>
    </row>
    <row r="38" spans="1:4" ht="12.75">
      <c r="A38" s="1" t="s">
        <v>32</v>
      </c>
      <c r="B38" s="78" t="s">
        <v>371</v>
      </c>
      <c r="C38" s="114"/>
      <c r="D38" s="137"/>
    </row>
    <row r="39" spans="1:4" ht="12.75">
      <c r="A39" s="1" t="s">
        <v>33</v>
      </c>
      <c r="B39" s="78" t="s">
        <v>86</v>
      </c>
      <c r="C39" s="111">
        <f>SUM(C40:C44)</f>
        <v>10.1</v>
      </c>
      <c r="D39" s="140">
        <v>3.23</v>
      </c>
    </row>
    <row r="40" spans="1:4" ht="12.75">
      <c r="A40" s="1" t="s">
        <v>34</v>
      </c>
      <c r="B40" s="78" t="s">
        <v>87</v>
      </c>
      <c r="C40" s="114">
        <v>1.4</v>
      </c>
      <c r="D40" s="141">
        <v>1.35</v>
      </c>
    </row>
    <row r="41" spans="1:4" ht="12.75">
      <c r="A41" s="1" t="s">
        <v>35</v>
      </c>
      <c r="B41" s="78" t="s">
        <v>377</v>
      </c>
      <c r="C41" s="114">
        <f>4.8</f>
        <v>4.8</v>
      </c>
      <c r="D41" s="137">
        <v>5.83</v>
      </c>
    </row>
    <row r="42" spans="1:4" ht="12.75">
      <c r="A42" s="1" t="s">
        <v>36</v>
      </c>
      <c r="B42" s="78" t="s">
        <v>88</v>
      </c>
      <c r="C42" s="114"/>
      <c r="D42" s="136">
        <v>0.38</v>
      </c>
    </row>
    <row r="43" spans="1:4" ht="12.75">
      <c r="A43" s="1" t="s">
        <v>37</v>
      </c>
      <c r="B43" s="78" t="s">
        <v>369</v>
      </c>
      <c r="C43" s="114">
        <v>2.1</v>
      </c>
      <c r="D43" s="137">
        <v>0</v>
      </c>
    </row>
    <row r="44" spans="1:4" ht="12.75">
      <c r="A44" s="1" t="s">
        <v>38</v>
      </c>
      <c r="B44" s="78" t="s">
        <v>89</v>
      </c>
      <c r="C44" s="114">
        <v>1.8</v>
      </c>
      <c r="D44" s="134">
        <v>1.5</v>
      </c>
    </row>
    <row r="45" spans="1:4" ht="12.75">
      <c r="A45" s="1" t="s">
        <v>39</v>
      </c>
      <c r="B45" s="78" t="s">
        <v>90</v>
      </c>
      <c r="C45" s="111">
        <f>12.14+73.25</f>
        <v>85.39</v>
      </c>
      <c r="D45" s="131">
        <v>80.24</v>
      </c>
    </row>
    <row r="46" spans="1:4" ht="12.75">
      <c r="A46" s="1" t="s">
        <v>40</v>
      </c>
      <c r="B46" s="78" t="s">
        <v>91</v>
      </c>
      <c r="C46" s="68">
        <f>C45-C47</f>
        <v>59.60222</v>
      </c>
      <c r="D46" s="68">
        <v>49.75</v>
      </c>
    </row>
    <row r="47" spans="1:4" ht="12.75">
      <c r="A47" s="1" t="s">
        <v>41</v>
      </c>
      <c r="B47" s="110" t="s">
        <v>92</v>
      </c>
      <c r="C47" s="68">
        <f>C45*30.2%</f>
        <v>25.787779999999998</v>
      </c>
      <c r="D47" s="68">
        <v>14.84</v>
      </c>
    </row>
    <row r="48" spans="1:4" ht="12.75" hidden="1">
      <c r="A48" s="1"/>
      <c r="B48" s="110" t="s">
        <v>370</v>
      </c>
      <c r="C48" s="68"/>
      <c r="D48" s="68">
        <v>0</v>
      </c>
    </row>
    <row r="49" spans="1:4" s="81" customFormat="1" ht="12.75">
      <c r="A49" s="80" t="s">
        <v>42</v>
      </c>
      <c r="B49" s="78" t="s">
        <v>93</v>
      </c>
      <c r="C49" s="67">
        <f>564.11-C18</f>
        <v>-118.44599999999991</v>
      </c>
      <c r="D49" s="142">
        <v>-117.69</v>
      </c>
    </row>
    <row r="50" spans="1:4" ht="12.75" hidden="1">
      <c r="A50" s="1" t="s">
        <v>43</v>
      </c>
      <c r="B50" s="78" t="s">
        <v>94</v>
      </c>
      <c r="C50" s="114"/>
      <c r="D50" s="137"/>
    </row>
    <row r="51" spans="1:4" ht="12.75" hidden="1">
      <c r="A51" s="1" t="s">
        <v>44</v>
      </c>
      <c r="B51" s="78" t="s">
        <v>95</v>
      </c>
      <c r="C51" s="114"/>
      <c r="D51" s="137"/>
    </row>
    <row r="52" spans="1:4" ht="12.75" hidden="1">
      <c r="A52" s="1" t="s">
        <v>45</v>
      </c>
      <c r="B52" s="78" t="s">
        <v>96</v>
      </c>
      <c r="C52" s="114"/>
      <c r="D52" s="137"/>
    </row>
    <row r="53" spans="1:4" ht="12.75" hidden="1">
      <c r="A53" s="1" t="s">
        <v>46</v>
      </c>
      <c r="B53" s="78" t="s">
        <v>97</v>
      </c>
      <c r="C53" s="114"/>
      <c r="D53" s="137"/>
    </row>
    <row r="54" spans="1:5" ht="12.75" hidden="1">
      <c r="A54" s="1" t="s">
        <v>47</v>
      </c>
      <c r="B54" s="78" t="s">
        <v>98</v>
      </c>
      <c r="C54" s="114"/>
      <c r="D54" s="137"/>
      <c r="E54" s="47"/>
    </row>
    <row r="55" spans="1:4" ht="12.75" hidden="1">
      <c r="A55" s="1" t="s">
        <v>48</v>
      </c>
      <c r="B55" s="78" t="s">
        <v>99</v>
      </c>
      <c r="C55" s="114"/>
      <c r="D55" s="137"/>
    </row>
    <row r="56" spans="1:6" ht="12.75" hidden="1">
      <c r="A56" s="1" t="s">
        <v>49</v>
      </c>
      <c r="B56" s="78" t="s">
        <v>100</v>
      </c>
      <c r="C56" s="114"/>
      <c r="D56" s="137"/>
      <c r="F56" s="47"/>
    </row>
    <row r="57" spans="1:4" ht="12.75" hidden="1">
      <c r="A57" s="1" t="s">
        <v>50</v>
      </c>
      <c r="B57" s="78" t="s">
        <v>101</v>
      </c>
      <c r="C57" s="114"/>
      <c r="D57" s="137"/>
    </row>
    <row r="58" spans="1:5" ht="12.75">
      <c r="A58" s="1" t="s">
        <v>51</v>
      </c>
      <c r="B58" s="78" t="s">
        <v>102</v>
      </c>
      <c r="C58" s="67">
        <f>C49+C18-248.05</f>
        <v>316.06</v>
      </c>
      <c r="D58" s="67">
        <v>566.33</v>
      </c>
      <c r="E58" s="47"/>
    </row>
    <row r="59" spans="1:4" ht="12.75">
      <c r="A59" s="1" t="s">
        <v>52</v>
      </c>
      <c r="B59" s="78" t="s">
        <v>103</v>
      </c>
      <c r="C59" s="68">
        <f>ROUND(C18/C8*1000,2)</f>
        <v>201.28</v>
      </c>
      <c r="D59" s="68">
        <v>151.85</v>
      </c>
    </row>
    <row r="60" spans="1:4" ht="19.5">
      <c r="A60" s="2" t="s">
        <v>53</v>
      </c>
      <c r="B60" s="109" t="s">
        <v>104</v>
      </c>
      <c r="C60" s="114">
        <v>111.66</v>
      </c>
      <c r="D60" s="114">
        <v>111.66</v>
      </c>
    </row>
    <row r="61" spans="1:4" ht="12.75">
      <c r="A61" s="1" t="s">
        <v>54</v>
      </c>
      <c r="B61" s="78" t="s">
        <v>105</v>
      </c>
      <c r="C61" s="114">
        <v>70</v>
      </c>
      <c r="D61" s="114">
        <v>70</v>
      </c>
    </row>
    <row r="62" spans="1:4" ht="12.75">
      <c r="A62" s="1" t="s">
        <v>55</v>
      </c>
      <c r="B62" s="78" t="s">
        <v>106</v>
      </c>
      <c r="C62" s="114">
        <v>40</v>
      </c>
      <c r="D62" s="114">
        <v>40</v>
      </c>
    </row>
    <row r="63" spans="1:4" ht="12.75">
      <c r="A63" s="1" t="s">
        <v>56</v>
      </c>
      <c r="B63" s="78" t="s">
        <v>107</v>
      </c>
      <c r="C63" s="114">
        <v>35</v>
      </c>
      <c r="D63" s="114">
        <v>35</v>
      </c>
    </row>
    <row r="64" spans="1:4" s="66" customFormat="1" ht="12.75">
      <c r="A64" s="77" t="s">
        <v>57</v>
      </c>
      <c r="B64" s="78" t="s">
        <v>108</v>
      </c>
      <c r="C64" s="79">
        <v>503.01</v>
      </c>
      <c r="D64" s="143">
        <v>668.27</v>
      </c>
    </row>
    <row r="65" spans="1:4" ht="12.75">
      <c r="A65" s="1" t="s">
        <v>58</v>
      </c>
      <c r="B65" s="78" t="s">
        <v>109</v>
      </c>
      <c r="C65" s="114">
        <v>248.05</v>
      </c>
      <c r="D65" s="137">
        <v>234.6</v>
      </c>
    </row>
    <row r="66" spans="1:4" ht="12.75">
      <c r="A66" s="1" t="s">
        <v>59</v>
      </c>
      <c r="B66" s="78" t="s">
        <v>110</v>
      </c>
      <c r="C66" s="79">
        <f>+C49</f>
        <v>-118.44599999999991</v>
      </c>
      <c r="D66" s="143">
        <f>+D49</f>
        <v>-117.69</v>
      </c>
    </row>
    <row r="68" spans="1:3" ht="12.75">
      <c r="A68" s="3" t="s">
        <v>385</v>
      </c>
      <c r="C68" s="112" t="s">
        <v>387</v>
      </c>
    </row>
    <row r="70" spans="1:3" ht="12.75">
      <c r="A70" s="3" t="s">
        <v>386</v>
      </c>
      <c r="C70" s="112" t="s">
        <v>388</v>
      </c>
    </row>
    <row r="72" spans="1:4" ht="12.75">
      <c r="A72" s="115" t="s">
        <v>389</v>
      </c>
      <c r="B72" s="116"/>
      <c r="C72" s="116" t="s">
        <v>390</v>
      </c>
      <c r="D72" s="116"/>
    </row>
    <row r="73" spans="1:4" ht="12.75">
      <c r="A73" s="115"/>
      <c r="B73" s="116"/>
      <c r="C73" s="116"/>
      <c r="D73" s="116"/>
    </row>
  </sheetData>
  <sheetProtection/>
  <mergeCells count="3"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82"/>
  <sheetViews>
    <sheetView zoomScale="120" zoomScaleNormal="120" zoomScalePageLayoutView="0" workbookViewId="0" topLeftCell="A9">
      <selection activeCell="A1" sqref="A1:D81"/>
    </sheetView>
  </sheetViews>
  <sheetFormatPr defaultColWidth="9.140625" defaultRowHeight="12.75"/>
  <cols>
    <col min="1" max="1" width="8.28125" style="6" customWidth="1"/>
    <col min="2" max="2" width="44.421875" style="6" customWidth="1"/>
    <col min="3" max="3" width="14.8515625" style="6" customWidth="1"/>
    <col min="4" max="4" width="13.7109375" style="6" customWidth="1"/>
    <col min="5" max="16384" width="9.140625" style="6" customWidth="1"/>
  </cols>
  <sheetData>
    <row r="1" spans="1:4" ht="12.75">
      <c r="A1" s="204" t="s">
        <v>391</v>
      </c>
      <c r="B1" s="204"/>
      <c r="C1" s="204"/>
      <c r="D1" s="204"/>
    </row>
    <row r="2" spans="1:4" ht="12.75">
      <c r="A2" s="204" t="s">
        <v>207</v>
      </c>
      <c r="B2" s="204"/>
      <c r="C2" s="204"/>
      <c r="D2" s="204"/>
    </row>
    <row r="3" spans="1:4" ht="12.75">
      <c r="A3" s="204" t="s">
        <v>206</v>
      </c>
      <c r="B3" s="204"/>
      <c r="C3" s="204"/>
      <c r="D3" s="204"/>
    </row>
    <row r="5" ht="12.75">
      <c r="D5" s="30" t="s">
        <v>2</v>
      </c>
    </row>
    <row r="6" spans="1:4" ht="42">
      <c r="A6" s="29" t="s">
        <v>3</v>
      </c>
      <c r="B6" s="28" t="s">
        <v>60</v>
      </c>
      <c r="C6" s="106" t="s">
        <v>112</v>
      </c>
      <c r="D6" s="27" t="s">
        <v>111</v>
      </c>
    </row>
    <row r="7" spans="1:4" ht="12.75">
      <c r="A7" s="8" t="s">
        <v>4</v>
      </c>
      <c r="B7" s="25" t="s">
        <v>8</v>
      </c>
      <c r="C7" s="8" t="s">
        <v>9</v>
      </c>
      <c r="D7" s="130" t="s">
        <v>13</v>
      </c>
    </row>
    <row r="8" spans="1:4" ht="12.75">
      <c r="A8" s="10" t="s">
        <v>4</v>
      </c>
      <c r="B8" s="163" t="s">
        <v>205</v>
      </c>
      <c r="C8" s="23"/>
      <c r="D8" s="124"/>
    </row>
    <row r="9" spans="1:4" ht="12.75">
      <c r="A9" s="10" t="s">
        <v>204</v>
      </c>
      <c r="B9" s="9" t="s">
        <v>203</v>
      </c>
      <c r="C9" s="23"/>
      <c r="D9" s="124"/>
    </row>
    <row r="10" spans="1:4" ht="12.75">
      <c r="A10" s="10" t="s">
        <v>6</v>
      </c>
      <c r="B10" s="9" t="s">
        <v>202</v>
      </c>
      <c r="C10" s="23"/>
      <c r="D10" s="125"/>
    </row>
    <row r="11" spans="1:4" ht="12.75">
      <c r="A11" s="10" t="s">
        <v>7</v>
      </c>
      <c r="B11" s="9" t="s">
        <v>201</v>
      </c>
      <c r="C11" s="11">
        <v>1303.8</v>
      </c>
      <c r="D11" s="126">
        <v>1343</v>
      </c>
    </row>
    <row r="12" spans="1:4" ht="12.75">
      <c r="A12" s="10" t="s">
        <v>200</v>
      </c>
      <c r="B12" s="9" t="s">
        <v>199</v>
      </c>
      <c r="C12" s="22"/>
      <c r="D12" s="127"/>
    </row>
    <row r="13" spans="1:4" ht="12.75">
      <c r="A13" s="10" t="s">
        <v>198</v>
      </c>
      <c r="B13" s="9" t="s">
        <v>197</v>
      </c>
      <c r="C13" s="11">
        <f>C11</f>
        <v>1303.8</v>
      </c>
      <c r="D13" s="128">
        <v>1343</v>
      </c>
    </row>
    <row r="14" spans="1:4" ht="12.75">
      <c r="A14" s="10" t="s">
        <v>196</v>
      </c>
      <c r="B14" s="9" t="s">
        <v>195</v>
      </c>
      <c r="C14" s="21">
        <v>0</v>
      </c>
      <c r="D14" s="126">
        <v>0</v>
      </c>
    </row>
    <row r="15" spans="1:4" ht="12.75">
      <c r="A15" s="10" t="s">
        <v>194</v>
      </c>
      <c r="B15" s="9" t="s">
        <v>193</v>
      </c>
      <c r="C15" s="11">
        <f>C13</f>
        <v>1303.8</v>
      </c>
      <c r="D15" s="128">
        <v>1343</v>
      </c>
    </row>
    <row r="16" spans="1:4" ht="12.75">
      <c r="A16" s="10" t="s">
        <v>192</v>
      </c>
      <c r="B16" s="9" t="s">
        <v>191</v>
      </c>
      <c r="C16" s="165">
        <v>16.38</v>
      </c>
      <c r="D16" s="128">
        <v>36.25</v>
      </c>
    </row>
    <row r="17" spans="1:5" ht="12.75">
      <c r="A17" s="10" t="s">
        <v>190</v>
      </c>
      <c r="B17" s="9" t="s">
        <v>189</v>
      </c>
      <c r="C17" s="11">
        <f>C18+C19+C20</f>
        <v>1136.2300000000002</v>
      </c>
      <c r="D17" s="128">
        <v>1306.75</v>
      </c>
      <c r="E17" s="157"/>
    </row>
    <row r="18" spans="1:4" ht="12.75">
      <c r="A18" s="10" t="s">
        <v>188</v>
      </c>
      <c r="B18" s="9" t="s">
        <v>187</v>
      </c>
      <c r="C18" s="165">
        <v>300.35</v>
      </c>
      <c r="D18" s="166">
        <v>460.23</v>
      </c>
    </row>
    <row r="19" spans="1:4" ht="12.75">
      <c r="A19" s="10" t="s">
        <v>186</v>
      </c>
      <c r="B19" s="9" t="s">
        <v>185</v>
      </c>
      <c r="C19" s="165">
        <v>791.7</v>
      </c>
      <c r="D19" s="167">
        <v>713.9</v>
      </c>
    </row>
    <row r="20" spans="1:4" ht="12.75">
      <c r="A20" s="10" t="s">
        <v>184</v>
      </c>
      <c r="B20" s="9" t="s">
        <v>183</v>
      </c>
      <c r="C20" s="165">
        <v>44.18</v>
      </c>
      <c r="D20" s="166">
        <v>132.62</v>
      </c>
    </row>
    <row r="21" spans="1:4" ht="12.75">
      <c r="A21" s="10" t="s">
        <v>51</v>
      </c>
      <c r="B21" s="74" t="s">
        <v>70</v>
      </c>
      <c r="C21" s="67">
        <f>C22+C23+C30+C31+C32</f>
        <v>237.31</v>
      </c>
      <c r="D21" s="67">
        <v>461.23</v>
      </c>
    </row>
    <row r="22" spans="1:4" ht="12.75">
      <c r="A22" s="10" t="s">
        <v>182</v>
      </c>
      <c r="B22" s="9" t="s">
        <v>213</v>
      </c>
      <c r="C22" s="156">
        <v>58.59</v>
      </c>
      <c r="D22" s="127"/>
    </row>
    <row r="23" spans="1:4" ht="12.75">
      <c r="A23" s="10" t="s">
        <v>180</v>
      </c>
      <c r="B23" s="18" t="s">
        <v>179</v>
      </c>
      <c r="C23" s="156">
        <v>41.25</v>
      </c>
      <c r="D23" s="129"/>
    </row>
    <row r="24" spans="1:4" ht="12.75" hidden="1">
      <c r="A24" s="10" t="s">
        <v>178</v>
      </c>
      <c r="B24" s="19" t="s">
        <v>177</v>
      </c>
      <c r="C24" s="156"/>
      <c r="D24" s="129"/>
    </row>
    <row r="25" spans="1:4" ht="12.75" hidden="1">
      <c r="A25" s="10" t="s">
        <v>176</v>
      </c>
      <c r="B25" s="9" t="s">
        <v>171</v>
      </c>
      <c r="C25" s="156"/>
      <c r="D25" s="129"/>
    </row>
    <row r="26" spans="1:4" ht="12.75" hidden="1">
      <c r="A26" s="10" t="s">
        <v>175</v>
      </c>
      <c r="B26" s="9" t="s">
        <v>169</v>
      </c>
      <c r="C26" s="156"/>
      <c r="D26" s="129"/>
    </row>
    <row r="27" spans="1:4" ht="12.75" hidden="1">
      <c r="A27" s="10" t="s">
        <v>174</v>
      </c>
      <c r="B27" s="19" t="s">
        <v>173</v>
      </c>
      <c r="C27" s="156"/>
      <c r="D27" s="129"/>
    </row>
    <row r="28" spans="1:4" ht="12.75" hidden="1">
      <c r="A28" s="10" t="s">
        <v>172</v>
      </c>
      <c r="B28" s="9" t="s">
        <v>171</v>
      </c>
      <c r="C28" s="156"/>
      <c r="D28" s="129"/>
    </row>
    <row r="29" spans="1:4" ht="12.75" hidden="1">
      <c r="A29" s="10" t="s">
        <v>170</v>
      </c>
      <c r="B29" s="9" t="s">
        <v>169</v>
      </c>
      <c r="C29" s="156"/>
      <c r="D29" s="129"/>
    </row>
    <row r="30" spans="1:4" ht="12.75">
      <c r="A30" s="10" t="s">
        <v>168</v>
      </c>
      <c r="B30" s="9" t="s">
        <v>76</v>
      </c>
      <c r="C30" s="156">
        <v>60.5</v>
      </c>
      <c r="D30" s="129"/>
    </row>
    <row r="31" spans="1:4" ht="21">
      <c r="A31" s="10" t="s">
        <v>167</v>
      </c>
      <c r="B31" s="18" t="s">
        <v>77</v>
      </c>
      <c r="C31" s="156">
        <v>18.17</v>
      </c>
      <c r="D31" s="129"/>
    </row>
    <row r="32" spans="1:4" ht="12.75">
      <c r="A32" s="10" t="s">
        <v>166</v>
      </c>
      <c r="B32" s="9" t="s">
        <v>78</v>
      </c>
      <c r="C32" s="156">
        <v>58.8</v>
      </c>
      <c r="D32" s="130">
        <v>0.639</v>
      </c>
    </row>
    <row r="33" spans="1:4" ht="12.75" hidden="1">
      <c r="A33" s="10" t="s">
        <v>165</v>
      </c>
      <c r="B33" s="9" t="s">
        <v>164</v>
      </c>
      <c r="C33" s="5"/>
      <c r="D33" s="129"/>
    </row>
    <row r="34" spans="1:4" ht="12.75" hidden="1">
      <c r="A34" s="10" t="s">
        <v>163</v>
      </c>
      <c r="B34" s="16" t="s">
        <v>162</v>
      </c>
      <c r="C34" s="5"/>
      <c r="D34" s="129"/>
    </row>
    <row r="35" spans="1:4" ht="12.75" hidden="1">
      <c r="A35" s="10" t="s">
        <v>161</v>
      </c>
      <c r="B35" s="16" t="s">
        <v>160</v>
      </c>
      <c r="C35" s="5"/>
      <c r="D35" s="129"/>
    </row>
    <row r="36" spans="1:4" ht="12.75" hidden="1">
      <c r="A36" s="10" t="s">
        <v>159</v>
      </c>
      <c r="B36" s="16" t="s">
        <v>158</v>
      </c>
      <c r="C36" s="5"/>
      <c r="D36" s="129"/>
    </row>
    <row r="37" spans="1:4" ht="12.75" hidden="1">
      <c r="A37" s="10" t="s">
        <v>157</v>
      </c>
      <c r="B37" s="9" t="s">
        <v>80</v>
      </c>
      <c r="C37" s="5"/>
      <c r="D37" s="129"/>
    </row>
    <row r="38" spans="1:4" ht="12.75" hidden="1">
      <c r="A38" s="10" t="s">
        <v>156</v>
      </c>
      <c r="B38" s="16" t="s">
        <v>81</v>
      </c>
      <c r="C38" s="5"/>
      <c r="D38" s="129"/>
    </row>
    <row r="39" spans="1:4" ht="12.75" hidden="1">
      <c r="A39" s="10" t="s">
        <v>155</v>
      </c>
      <c r="B39" s="16" t="s">
        <v>154</v>
      </c>
      <c r="C39" s="5"/>
      <c r="D39" s="129"/>
    </row>
    <row r="40" spans="1:4" ht="12.75">
      <c r="A40" s="10" t="s">
        <v>153</v>
      </c>
      <c r="B40" s="9" t="s">
        <v>152</v>
      </c>
      <c r="C40" s="17"/>
      <c r="D40" s="129">
        <v>460.6</v>
      </c>
    </row>
    <row r="41" spans="1:4" ht="12.75" hidden="1">
      <c r="A41" s="10" t="s">
        <v>151</v>
      </c>
      <c r="B41" s="16" t="s">
        <v>150</v>
      </c>
      <c r="C41" s="5"/>
      <c r="D41" s="129"/>
    </row>
    <row r="42" spans="1:4" ht="12.75" hidden="1">
      <c r="A42" s="10" t="s">
        <v>149</v>
      </c>
      <c r="B42" s="9" t="s">
        <v>148</v>
      </c>
      <c r="C42" s="5"/>
      <c r="D42" s="129"/>
    </row>
    <row r="43" spans="1:4" ht="12.75" hidden="1">
      <c r="A43" s="10" t="s">
        <v>147</v>
      </c>
      <c r="B43" s="9" t="s">
        <v>146</v>
      </c>
      <c r="C43" s="5"/>
      <c r="D43" s="129"/>
    </row>
    <row r="44" spans="1:4" ht="12.75" hidden="1">
      <c r="A44" s="10" t="s">
        <v>145</v>
      </c>
      <c r="B44" s="16" t="s">
        <v>91</v>
      </c>
      <c r="C44" s="5"/>
      <c r="D44" s="129"/>
    </row>
    <row r="45" spans="1:4" ht="12.75" hidden="1">
      <c r="A45" s="10" t="s">
        <v>144</v>
      </c>
      <c r="B45" s="16" t="s">
        <v>143</v>
      </c>
      <c r="C45" s="5"/>
      <c r="D45" s="129"/>
    </row>
    <row r="46" spans="1:4" ht="12.75" hidden="1">
      <c r="A46" s="10" t="s">
        <v>142</v>
      </c>
      <c r="B46" s="9" t="s">
        <v>83</v>
      </c>
      <c r="C46" s="14"/>
      <c r="D46" s="129"/>
    </row>
    <row r="47" spans="1:4" ht="12.75" hidden="1">
      <c r="A47" s="10" t="s">
        <v>141</v>
      </c>
      <c r="B47" s="9" t="s">
        <v>140</v>
      </c>
      <c r="C47" s="14"/>
      <c r="D47" s="129"/>
    </row>
    <row r="48" spans="1:4" ht="12.75" hidden="1">
      <c r="A48" s="10" t="s">
        <v>139</v>
      </c>
      <c r="B48" s="9" t="s">
        <v>99</v>
      </c>
      <c r="C48" s="14"/>
      <c r="D48" s="129"/>
    </row>
    <row r="49" spans="1:4" ht="12.75" hidden="1">
      <c r="A49" s="10" t="s">
        <v>138</v>
      </c>
      <c r="B49" s="15"/>
      <c r="C49" s="14"/>
      <c r="D49" s="129"/>
    </row>
    <row r="50" spans="1:4" ht="12.75" hidden="1">
      <c r="A50" s="10" t="s">
        <v>137</v>
      </c>
      <c r="B50" s="15"/>
      <c r="C50" s="14"/>
      <c r="D50" s="129"/>
    </row>
    <row r="51" spans="1:4" ht="12.75" hidden="1">
      <c r="A51" s="10" t="s">
        <v>136</v>
      </c>
      <c r="B51" s="15"/>
      <c r="C51" s="14"/>
      <c r="D51" s="129"/>
    </row>
    <row r="52" spans="1:4" ht="12.75" hidden="1">
      <c r="A52" s="10" t="s">
        <v>135</v>
      </c>
      <c r="B52" s="15"/>
      <c r="C52" s="11"/>
      <c r="D52" s="129"/>
    </row>
    <row r="53" spans="1:5" s="83" customFormat="1" ht="12.75">
      <c r="A53" s="164" t="s">
        <v>52</v>
      </c>
      <c r="B53" s="74" t="s">
        <v>93</v>
      </c>
      <c r="C53" s="79">
        <f>239.599+C69-C21</f>
        <v>269.459</v>
      </c>
      <c r="D53" s="135">
        <v>-0.64</v>
      </c>
      <c r="E53" s="66"/>
    </row>
    <row r="54" spans="1:4" ht="12.75" hidden="1">
      <c r="A54" s="10" t="s">
        <v>134</v>
      </c>
      <c r="B54" s="9" t="s">
        <v>94</v>
      </c>
      <c r="C54" s="14"/>
      <c r="D54" s="129"/>
    </row>
    <row r="55" spans="1:4" ht="12.75" hidden="1">
      <c r="A55" s="10" t="s">
        <v>133</v>
      </c>
      <c r="B55" s="9" t="s">
        <v>95</v>
      </c>
      <c r="C55" s="14"/>
      <c r="D55" s="129"/>
    </row>
    <row r="56" spans="1:4" ht="12.75" hidden="1">
      <c r="A56" s="10" t="s">
        <v>132</v>
      </c>
      <c r="B56" s="9" t="s">
        <v>96</v>
      </c>
      <c r="C56" s="14"/>
      <c r="D56" s="129"/>
    </row>
    <row r="57" spans="1:4" ht="12.75" hidden="1">
      <c r="A57" s="10" t="s">
        <v>131</v>
      </c>
      <c r="B57" s="9" t="s">
        <v>97</v>
      </c>
      <c r="C57" s="14"/>
      <c r="D57" s="129"/>
    </row>
    <row r="58" spans="1:4" ht="12.75" hidden="1">
      <c r="A58" s="10" t="s">
        <v>130</v>
      </c>
      <c r="B58" s="9" t="s">
        <v>98</v>
      </c>
      <c r="C58" s="14"/>
      <c r="D58" s="129"/>
    </row>
    <row r="59" spans="1:4" ht="12.75" hidden="1">
      <c r="A59" s="10" t="s">
        <v>129</v>
      </c>
      <c r="B59" s="9" t="s">
        <v>99</v>
      </c>
      <c r="C59" s="14"/>
      <c r="D59" s="129"/>
    </row>
    <row r="60" spans="1:4" ht="12.75" hidden="1">
      <c r="A60" s="10" t="s">
        <v>128</v>
      </c>
      <c r="B60" s="9" t="s">
        <v>100</v>
      </c>
      <c r="C60" s="14"/>
      <c r="D60" s="129"/>
    </row>
    <row r="61" spans="1:4" ht="12.75" hidden="1">
      <c r="A61" s="10" t="s">
        <v>127</v>
      </c>
      <c r="B61" s="9" t="s">
        <v>126</v>
      </c>
      <c r="C61" s="61"/>
      <c r="D61" s="132"/>
    </row>
    <row r="62" spans="1:4" ht="12.75">
      <c r="A62" s="13" t="s">
        <v>53</v>
      </c>
      <c r="B62" s="9" t="s">
        <v>102</v>
      </c>
      <c r="C62" s="11">
        <f>C21+C53-267.17</f>
        <v>239.599</v>
      </c>
      <c r="D62" s="11">
        <v>460.6</v>
      </c>
    </row>
    <row r="63" spans="1:4" ht="12.75">
      <c r="A63" s="10" t="s">
        <v>54</v>
      </c>
      <c r="B63" s="9" t="s">
        <v>125</v>
      </c>
      <c r="C63" s="68">
        <f>C21/C13*1000</f>
        <v>182.01411259395613</v>
      </c>
      <c r="D63" s="12">
        <v>343.43</v>
      </c>
    </row>
    <row r="64" spans="1:4" ht="12.75">
      <c r="A64" s="10" t="s">
        <v>57</v>
      </c>
      <c r="B64" s="9" t="s">
        <v>124</v>
      </c>
      <c r="C64" s="68">
        <v>405.11</v>
      </c>
      <c r="D64" s="133">
        <v>62.15</v>
      </c>
    </row>
    <row r="65" spans="1:4" ht="12.75">
      <c r="A65" s="10" t="s">
        <v>58</v>
      </c>
      <c r="B65" s="9" t="s">
        <v>123</v>
      </c>
      <c r="C65" s="68">
        <v>67.65</v>
      </c>
      <c r="D65" s="12">
        <v>62.15</v>
      </c>
    </row>
    <row r="66" spans="1:5" s="83" customFormat="1" ht="12.75">
      <c r="A66" s="73" t="s">
        <v>59</v>
      </c>
      <c r="B66" s="82" t="s">
        <v>122</v>
      </c>
      <c r="C66" s="67">
        <v>549.89</v>
      </c>
      <c r="D66" s="67">
        <v>543.51</v>
      </c>
      <c r="E66" s="66"/>
    </row>
    <row r="67" spans="1:4" s="83" customFormat="1" ht="12.75">
      <c r="A67" s="73" t="s">
        <v>121</v>
      </c>
      <c r="B67" s="82" t="s">
        <v>349</v>
      </c>
      <c r="C67" s="68">
        <f>(C19*C65)/1000</f>
        <v>53.558505000000004</v>
      </c>
      <c r="D67" s="68">
        <v>52.36</v>
      </c>
    </row>
    <row r="68" spans="1:5" s="83" customFormat="1" ht="12.75">
      <c r="A68" s="73" t="s">
        <v>120</v>
      </c>
      <c r="B68" s="82" t="s">
        <v>119</v>
      </c>
      <c r="C68" s="68">
        <f>C66-C67-C69</f>
        <v>229.16149499999995</v>
      </c>
      <c r="D68" s="68">
        <v>46.14</v>
      </c>
      <c r="E68" s="81"/>
    </row>
    <row r="69" spans="1:4" s="83" customFormat="1" ht="12.75">
      <c r="A69" s="73" t="s">
        <v>118</v>
      </c>
      <c r="B69" s="82" t="s">
        <v>109</v>
      </c>
      <c r="C69" s="68">
        <v>267.17</v>
      </c>
      <c r="D69" s="134">
        <v>445.01</v>
      </c>
    </row>
    <row r="70" spans="1:5" s="83" customFormat="1" ht="12.75">
      <c r="A70" s="73" t="s">
        <v>117</v>
      </c>
      <c r="B70" s="82" t="s">
        <v>110</v>
      </c>
      <c r="C70" s="89">
        <f>C53</f>
        <v>269.459</v>
      </c>
      <c r="D70" s="135">
        <f>D53</f>
        <v>-0.64</v>
      </c>
      <c r="E70" s="120"/>
    </row>
    <row r="72" spans="1:3" ht="12.75" hidden="1">
      <c r="A72" s="3" t="s">
        <v>114</v>
      </c>
      <c r="B72"/>
      <c r="C72" s="59" t="s">
        <v>344</v>
      </c>
    </row>
    <row r="73" spans="1:3" ht="12.75" hidden="1">
      <c r="A73"/>
      <c r="B73"/>
      <c r="C73"/>
    </row>
    <row r="74" spans="1:3" ht="12.75" hidden="1">
      <c r="A74" s="3" t="s">
        <v>115</v>
      </c>
      <c r="B74"/>
      <c r="C74" s="4" t="s">
        <v>116</v>
      </c>
    </row>
    <row r="75" spans="1:3" ht="12.75" hidden="1">
      <c r="A75"/>
      <c r="B75"/>
      <c r="C75"/>
    </row>
    <row r="76" spans="1:3" ht="12.75" hidden="1">
      <c r="A76" s="60" t="s">
        <v>345</v>
      </c>
      <c r="B76"/>
      <c r="C76" s="59" t="s">
        <v>346</v>
      </c>
    </row>
    <row r="77" spans="2:5" ht="12.75">
      <c r="B77" s="3" t="s">
        <v>385</v>
      </c>
      <c r="C77" s="66"/>
      <c r="D77" s="112" t="s">
        <v>387</v>
      </c>
      <c r="E77" s="66"/>
    </row>
    <row r="78" spans="2:5" ht="12.75">
      <c r="B78"/>
      <c r="C78" s="66"/>
      <c r="D78" s="66"/>
      <c r="E78" s="66"/>
    </row>
    <row r="79" spans="2:5" ht="12.75">
      <c r="B79" s="3" t="s">
        <v>386</v>
      </c>
      <c r="C79" s="66"/>
      <c r="D79" s="112" t="s">
        <v>388</v>
      </c>
      <c r="E79" s="66"/>
    </row>
    <row r="80" spans="2:5" ht="12.75">
      <c r="B80"/>
      <c r="C80" s="66"/>
      <c r="D80" s="66"/>
      <c r="E80" s="66"/>
    </row>
    <row r="81" spans="2:5" ht="12.75">
      <c r="B81" s="115" t="s">
        <v>389</v>
      </c>
      <c r="C81" s="116"/>
      <c r="D81" s="116" t="s">
        <v>390</v>
      </c>
      <c r="E81" s="116"/>
    </row>
    <row r="82" spans="2:4" ht="12.75">
      <c r="B82" s="115"/>
      <c r="C82" s="116"/>
      <c r="D82" s="116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85"/>
  <sheetViews>
    <sheetView zoomScale="130" zoomScaleNormal="130" zoomScalePageLayoutView="0" workbookViewId="0" topLeftCell="A38">
      <selection activeCell="A1" sqref="A1:D83"/>
    </sheetView>
  </sheetViews>
  <sheetFormatPr defaultColWidth="9.140625" defaultRowHeight="12.75"/>
  <cols>
    <col min="1" max="1" width="9.57421875" style="6" customWidth="1"/>
    <col min="2" max="2" width="44.00390625" style="6" customWidth="1"/>
    <col min="3" max="3" width="15.7109375" style="83" customWidth="1"/>
    <col min="4" max="4" width="15.421875" style="83" customWidth="1"/>
    <col min="5" max="5" width="9.57421875" style="6" bestFit="1" customWidth="1"/>
    <col min="6" max="16384" width="9.140625" style="6" customWidth="1"/>
  </cols>
  <sheetData>
    <row r="1" spans="1:4" ht="12.75">
      <c r="A1" s="204" t="s">
        <v>392</v>
      </c>
      <c r="B1" s="204"/>
      <c r="C1" s="204"/>
      <c r="D1" s="204"/>
    </row>
    <row r="2" spans="1:4" ht="12.75">
      <c r="A2" s="204" t="s">
        <v>207</v>
      </c>
      <c r="B2" s="204"/>
      <c r="C2" s="204"/>
      <c r="D2" s="204"/>
    </row>
    <row r="4" spans="1:4" ht="12.75">
      <c r="A4" s="204" t="s">
        <v>1</v>
      </c>
      <c r="B4" s="204"/>
      <c r="C4" s="204"/>
      <c r="D4" s="204"/>
    </row>
    <row r="5" ht="12.75">
      <c r="D5" s="121" t="s">
        <v>2</v>
      </c>
    </row>
    <row r="6" spans="1:4" ht="31.5">
      <c r="A6" s="29" t="s">
        <v>3</v>
      </c>
      <c r="B6" s="40" t="s">
        <v>60</v>
      </c>
      <c r="C6" s="106" t="s">
        <v>112</v>
      </c>
      <c r="D6" s="27" t="s">
        <v>111</v>
      </c>
    </row>
    <row r="7" spans="1:4" ht="12.75">
      <c r="A7" s="32" t="s">
        <v>4</v>
      </c>
      <c r="B7" s="39" t="s">
        <v>8</v>
      </c>
      <c r="C7" s="84" t="s">
        <v>9</v>
      </c>
      <c r="D7" s="151" t="s">
        <v>13</v>
      </c>
    </row>
    <row r="8" spans="1:4" ht="12.75">
      <c r="A8" s="32" t="s">
        <v>4</v>
      </c>
      <c r="B8" s="38" t="s">
        <v>205</v>
      </c>
      <c r="C8" s="72"/>
      <c r="D8" s="82"/>
    </row>
    <row r="9" spans="1:4" ht="12.75">
      <c r="A9" s="32" t="s">
        <v>204</v>
      </c>
      <c r="B9" s="31" t="s">
        <v>203</v>
      </c>
      <c r="C9" s="75">
        <v>1018376.89</v>
      </c>
      <c r="D9" s="159">
        <v>258115.9</v>
      </c>
    </row>
    <row r="10" spans="1:4" ht="12.75">
      <c r="A10" s="32" t="s">
        <v>6</v>
      </c>
      <c r="B10" s="155" t="s">
        <v>202</v>
      </c>
      <c r="C10" s="75">
        <v>77752.3</v>
      </c>
      <c r="D10" s="147">
        <v>14341.7</v>
      </c>
    </row>
    <row r="11" spans="1:4" ht="12.75">
      <c r="A11" s="32" t="s">
        <v>7</v>
      </c>
      <c r="B11" s="31" t="s">
        <v>201</v>
      </c>
      <c r="C11" s="168"/>
      <c r="D11" s="73"/>
    </row>
    <row r="12" spans="1:4" ht="12.75">
      <c r="A12" s="32" t="s">
        <v>200</v>
      </c>
      <c r="B12" s="117" t="s">
        <v>372</v>
      </c>
      <c r="C12" s="87">
        <f>C13</f>
        <v>257119.82</v>
      </c>
      <c r="D12" s="147">
        <v>243774.2</v>
      </c>
    </row>
    <row r="13" spans="1:4" ht="12.75">
      <c r="A13" s="32" t="s">
        <v>198</v>
      </c>
      <c r="B13" s="31" t="s">
        <v>197</v>
      </c>
      <c r="C13" s="75">
        <f>C14+C15</f>
        <v>257119.82</v>
      </c>
      <c r="D13" s="75">
        <f>D12</f>
        <v>243774.2</v>
      </c>
    </row>
    <row r="14" spans="1:4" ht="12.75">
      <c r="A14" s="32" t="s">
        <v>196</v>
      </c>
      <c r="B14" s="31" t="s">
        <v>195</v>
      </c>
      <c r="C14" s="87">
        <v>87576.2</v>
      </c>
      <c r="D14" s="145">
        <v>79429</v>
      </c>
    </row>
    <row r="15" spans="1:4" ht="12.75">
      <c r="A15" s="32" t="s">
        <v>194</v>
      </c>
      <c r="B15" s="31" t="s">
        <v>193</v>
      </c>
      <c r="C15" s="75">
        <f>C16+C17</f>
        <v>169543.62</v>
      </c>
      <c r="D15" s="147">
        <v>164345.2</v>
      </c>
    </row>
    <row r="16" spans="1:4" ht="12.75">
      <c r="A16" s="32" t="s">
        <v>192</v>
      </c>
      <c r="B16" s="31" t="s">
        <v>191</v>
      </c>
      <c r="C16" s="87">
        <v>35891</v>
      </c>
      <c r="D16" s="145">
        <v>27364.4</v>
      </c>
    </row>
    <row r="17" spans="1:4" ht="12.75">
      <c r="A17" s="32" t="s">
        <v>190</v>
      </c>
      <c r="B17" s="31" t="s">
        <v>189</v>
      </c>
      <c r="C17" s="75">
        <f>C18+C19+C20</f>
        <v>133652.62</v>
      </c>
      <c r="D17" s="67">
        <v>164345.2</v>
      </c>
    </row>
    <row r="18" spans="1:4" ht="12.75">
      <c r="A18" s="32" t="s">
        <v>188</v>
      </c>
      <c r="B18" s="31" t="s">
        <v>187</v>
      </c>
      <c r="C18" s="104">
        <v>13853.42</v>
      </c>
      <c r="D18" s="136">
        <v>15331.43</v>
      </c>
    </row>
    <row r="19" spans="1:4" ht="12.75">
      <c r="A19" s="32" t="s">
        <v>186</v>
      </c>
      <c r="B19" s="31" t="s">
        <v>185</v>
      </c>
      <c r="C19" s="104">
        <v>110547</v>
      </c>
      <c r="D19" s="136">
        <v>112275.3</v>
      </c>
    </row>
    <row r="20" spans="1:5" ht="12.75">
      <c r="A20" s="32" t="s">
        <v>184</v>
      </c>
      <c r="B20" s="31" t="s">
        <v>183</v>
      </c>
      <c r="C20" s="104">
        <v>9252.2</v>
      </c>
      <c r="D20" s="136">
        <v>116167.56</v>
      </c>
      <c r="E20" s="46"/>
    </row>
    <row r="21" spans="1:6" s="64" customFormat="1" ht="12.75">
      <c r="A21" s="37" t="s">
        <v>51</v>
      </c>
      <c r="B21" s="150" t="s">
        <v>70</v>
      </c>
      <c r="C21" s="67">
        <f>C23+C30+C32+C31+C33+C37+C43+C46</f>
        <v>3984.8799999999997</v>
      </c>
      <c r="D21" s="67">
        <f>D22+D23+D30+D31+D32+D33+D37+D42+D43+D46</f>
        <v>3953.43</v>
      </c>
      <c r="F21" s="119"/>
    </row>
    <row r="22" spans="1:5" ht="12.75">
      <c r="A22" s="32" t="s">
        <v>182</v>
      </c>
      <c r="B22" s="31" t="s">
        <v>181</v>
      </c>
      <c r="C22" s="75"/>
      <c r="D22" s="73">
        <v>50.77</v>
      </c>
      <c r="E22" s="46"/>
    </row>
    <row r="23" spans="1:4" ht="22.5">
      <c r="A23" s="32" t="s">
        <v>180</v>
      </c>
      <c r="B23" s="36" t="s">
        <v>215</v>
      </c>
      <c r="C23" s="75">
        <v>1035.58</v>
      </c>
      <c r="D23" s="136">
        <v>798.05</v>
      </c>
    </row>
    <row r="24" spans="1:4" ht="12.75">
      <c r="A24" s="32" t="s">
        <v>178</v>
      </c>
      <c r="B24" s="31" t="s">
        <v>177</v>
      </c>
      <c r="C24" s="162"/>
      <c r="D24" s="73"/>
    </row>
    <row r="25" spans="1:4" ht="12.75">
      <c r="A25" s="32" t="s">
        <v>176</v>
      </c>
      <c r="B25" s="31" t="s">
        <v>171</v>
      </c>
      <c r="C25" s="169">
        <f>C23/C26</f>
        <v>2.9419886363636363</v>
      </c>
      <c r="D25" s="144">
        <v>2.63</v>
      </c>
    </row>
    <row r="26" spans="1:4" ht="12.75">
      <c r="A26" s="32" t="s">
        <v>175</v>
      </c>
      <c r="B26" s="31" t="s">
        <v>169</v>
      </c>
      <c r="C26" s="87">
        <v>352</v>
      </c>
      <c r="D26" s="134">
        <v>303.4</v>
      </c>
    </row>
    <row r="27" spans="1:4" ht="12.75">
      <c r="A27" s="32" t="s">
        <v>174</v>
      </c>
      <c r="B27" s="117" t="s">
        <v>173</v>
      </c>
      <c r="C27" s="162"/>
      <c r="D27" s="152"/>
    </row>
    <row r="28" spans="1:4" ht="12.75">
      <c r="A28" s="32" t="s">
        <v>172</v>
      </c>
      <c r="B28" s="31" t="s">
        <v>171</v>
      </c>
      <c r="C28" s="170"/>
      <c r="D28" s="152"/>
    </row>
    <row r="29" spans="1:4" ht="12.75">
      <c r="A29" s="32" t="s">
        <v>170</v>
      </c>
      <c r="B29" s="31" t="s">
        <v>169</v>
      </c>
      <c r="C29" s="171"/>
      <c r="D29" s="152"/>
    </row>
    <row r="30" spans="1:5" ht="12.75">
      <c r="A30" s="32" t="s">
        <v>168</v>
      </c>
      <c r="B30" s="31" t="s">
        <v>76</v>
      </c>
      <c r="C30" s="87">
        <v>859.28</v>
      </c>
      <c r="D30" s="134">
        <v>715.86</v>
      </c>
      <c r="E30"/>
    </row>
    <row r="31" spans="1:4" ht="22.5">
      <c r="A31" s="32" t="s">
        <v>167</v>
      </c>
      <c r="B31" s="36" t="s">
        <v>77</v>
      </c>
      <c r="C31" s="87">
        <v>323.99</v>
      </c>
      <c r="D31" s="153">
        <v>214.75</v>
      </c>
    </row>
    <row r="32" spans="1:4" ht="12.75">
      <c r="A32" s="32" t="s">
        <v>166</v>
      </c>
      <c r="B32" s="31" t="s">
        <v>78</v>
      </c>
      <c r="C32" s="71">
        <v>334.46</v>
      </c>
      <c r="D32" s="144">
        <v>334.32</v>
      </c>
    </row>
    <row r="33" spans="1:4" ht="12.75">
      <c r="A33" s="32" t="s">
        <v>165</v>
      </c>
      <c r="B33" s="117" t="s">
        <v>373</v>
      </c>
      <c r="C33" s="75">
        <f>39.19</f>
        <v>39.19</v>
      </c>
      <c r="D33" s="67">
        <v>388.89</v>
      </c>
    </row>
    <row r="34" spans="1:4" ht="12.75">
      <c r="A34" s="32" t="s">
        <v>163</v>
      </c>
      <c r="B34" s="31" t="s">
        <v>214</v>
      </c>
      <c r="C34" s="87"/>
      <c r="D34" s="73">
        <v>9.5</v>
      </c>
    </row>
    <row r="35" spans="1:4" ht="12.75">
      <c r="A35" s="32" t="s">
        <v>161</v>
      </c>
      <c r="B35" s="35" t="s">
        <v>160</v>
      </c>
      <c r="C35" s="87">
        <f>C33-C36</f>
        <v>27.354619999999997</v>
      </c>
      <c r="D35" s="134">
        <v>291.84</v>
      </c>
    </row>
    <row r="36" spans="1:4" ht="12.75">
      <c r="A36" s="32" t="s">
        <v>159</v>
      </c>
      <c r="B36" s="35" t="s">
        <v>158</v>
      </c>
      <c r="C36" s="87">
        <f>C33*30.2%</f>
        <v>11.835379999999999</v>
      </c>
      <c r="D36" s="153">
        <v>87.55</v>
      </c>
    </row>
    <row r="37" spans="1:6" ht="12.75">
      <c r="A37" s="32" t="s">
        <v>157</v>
      </c>
      <c r="B37" s="31" t="s">
        <v>80</v>
      </c>
      <c r="C37" s="75">
        <f>C38+C39</f>
        <v>474.35999999999996</v>
      </c>
      <c r="D37" s="67">
        <v>590.15</v>
      </c>
      <c r="F37" s="6">
        <v>62.08</v>
      </c>
    </row>
    <row r="38" spans="1:6" ht="12.75">
      <c r="A38" s="32" t="s">
        <v>156</v>
      </c>
      <c r="B38" s="35" t="s">
        <v>81</v>
      </c>
      <c r="C38" s="172">
        <f>316.46+43.33</f>
        <v>359.78999999999996</v>
      </c>
      <c r="D38" s="148">
        <v>327.2</v>
      </c>
      <c r="F38" s="46">
        <f>F37-F39</f>
        <v>43.33184</v>
      </c>
    </row>
    <row r="39" spans="1:6" ht="12.75">
      <c r="A39" s="32" t="s">
        <v>155</v>
      </c>
      <c r="B39" s="35" t="s">
        <v>154</v>
      </c>
      <c r="C39" s="172">
        <f>95.82+18.75</f>
        <v>114.57</v>
      </c>
      <c r="D39" s="144">
        <v>98.81</v>
      </c>
      <c r="F39" s="46">
        <f>F37*30.2%</f>
        <v>18.74816</v>
      </c>
    </row>
    <row r="40" spans="1:4" ht="12.75">
      <c r="A40" s="32" t="s">
        <v>153</v>
      </c>
      <c r="B40" s="31" t="s">
        <v>152</v>
      </c>
      <c r="C40" s="95"/>
      <c r="D40" s="134"/>
    </row>
    <row r="41" spans="1:4" ht="12.75">
      <c r="A41" s="32" t="s">
        <v>151</v>
      </c>
      <c r="B41" s="35" t="s">
        <v>150</v>
      </c>
      <c r="C41" s="95"/>
      <c r="D41" s="134"/>
    </row>
    <row r="42" spans="1:4" ht="12.75">
      <c r="A42" s="32" t="s">
        <v>149</v>
      </c>
      <c r="B42" s="31" t="s">
        <v>148</v>
      </c>
      <c r="C42" s="75"/>
      <c r="D42" s="144">
        <v>100</v>
      </c>
    </row>
    <row r="43" spans="1:4" ht="12.75">
      <c r="A43" s="32" t="s">
        <v>147</v>
      </c>
      <c r="B43" s="31" t="s">
        <v>146</v>
      </c>
      <c r="C43" s="71">
        <f>81.69+493.45</f>
        <v>575.14</v>
      </c>
      <c r="D43" s="134">
        <v>653.64</v>
      </c>
    </row>
    <row r="44" spans="1:4" ht="12.75">
      <c r="A44" s="32" t="s">
        <v>145</v>
      </c>
      <c r="B44" s="35" t="s">
        <v>91</v>
      </c>
      <c r="C44" s="92">
        <f>C43-C45</f>
        <v>401.45</v>
      </c>
      <c r="D44" s="153">
        <v>468.3</v>
      </c>
    </row>
    <row r="45" spans="1:4" ht="12.75">
      <c r="A45" s="32" t="s">
        <v>144</v>
      </c>
      <c r="B45" s="35" t="s">
        <v>143</v>
      </c>
      <c r="C45" s="92">
        <f>ROUND(C43*30.2%,2)</f>
        <v>173.69</v>
      </c>
      <c r="D45" s="144">
        <v>138.5</v>
      </c>
    </row>
    <row r="46" spans="1:4" ht="12.75">
      <c r="A46" s="32" t="s">
        <v>142</v>
      </c>
      <c r="B46" s="31" t="s">
        <v>83</v>
      </c>
      <c r="C46" s="173">
        <f>C47+C48+C49+C50+C51+C52</f>
        <v>342.88000000000005</v>
      </c>
      <c r="D46" s="68">
        <v>107</v>
      </c>
    </row>
    <row r="47" spans="1:7" ht="12.75">
      <c r="A47" s="32" t="s">
        <v>141</v>
      </c>
      <c r="B47" s="117" t="s">
        <v>213</v>
      </c>
      <c r="C47" s="174">
        <v>18.67</v>
      </c>
      <c r="D47" s="134">
        <v>0</v>
      </c>
      <c r="E47"/>
      <c r="G47"/>
    </row>
    <row r="48" spans="1:4" ht="12.75">
      <c r="A48" s="32" t="s">
        <v>139</v>
      </c>
      <c r="B48" s="31" t="s">
        <v>99</v>
      </c>
      <c r="C48" s="174">
        <v>0</v>
      </c>
      <c r="D48" s="134">
        <v>64.7</v>
      </c>
    </row>
    <row r="49" spans="1:5" ht="12.75">
      <c r="A49" s="32"/>
      <c r="B49" s="117" t="s">
        <v>374</v>
      </c>
      <c r="C49" s="174">
        <f>0.72+159.03</f>
        <v>159.75</v>
      </c>
      <c r="D49" s="134">
        <v>0</v>
      </c>
      <c r="E49"/>
    </row>
    <row r="50" spans="1:4" ht="12.75">
      <c r="A50" s="32"/>
      <c r="B50" s="117" t="s">
        <v>375</v>
      </c>
      <c r="C50" s="174">
        <v>2.19</v>
      </c>
      <c r="D50" s="134">
        <v>0</v>
      </c>
    </row>
    <row r="51" spans="1:5" ht="12.75">
      <c r="A51" s="32"/>
      <c r="B51" s="117" t="s">
        <v>376</v>
      </c>
      <c r="C51" s="174">
        <f>10.18+7.8+2.07+1.48+26.06+0.83+46.56</f>
        <v>94.98</v>
      </c>
      <c r="D51" s="134">
        <v>0</v>
      </c>
      <c r="E51"/>
    </row>
    <row r="52" spans="1:5" ht="12.75">
      <c r="A52" s="32" t="s">
        <v>135</v>
      </c>
      <c r="B52" s="117" t="s">
        <v>348</v>
      </c>
      <c r="C52" s="174">
        <v>67.29</v>
      </c>
      <c r="D52" s="134">
        <v>0</v>
      </c>
      <c r="E52" s="76"/>
    </row>
    <row r="53" spans="1:4" ht="12.75" hidden="1">
      <c r="A53" s="34"/>
      <c r="B53" s="33"/>
      <c r="C53" s="75"/>
      <c r="D53" s="154"/>
    </row>
    <row r="54" spans="1:5" s="83" customFormat="1" ht="12.75">
      <c r="A54" s="84" t="s">
        <v>52</v>
      </c>
      <c r="B54" s="85" t="s">
        <v>93</v>
      </c>
      <c r="C54" s="118">
        <f>4594.19-C21</f>
        <v>609.31</v>
      </c>
      <c r="D54" s="148">
        <v>255.19</v>
      </c>
      <c r="E54" s="66"/>
    </row>
    <row r="55" spans="1:4" s="83" customFormat="1" ht="12.75" hidden="1">
      <c r="A55" s="84" t="s">
        <v>134</v>
      </c>
      <c r="B55" s="85" t="s">
        <v>94</v>
      </c>
      <c r="C55" s="86"/>
      <c r="D55" s="99"/>
    </row>
    <row r="56" spans="1:4" s="83" customFormat="1" ht="12.75" hidden="1">
      <c r="A56" s="84" t="s">
        <v>133</v>
      </c>
      <c r="B56" s="85" t="s">
        <v>95</v>
      </c>
      <c r="C56" s="86"/>
      <c r="D56" s="73"/>
    </row>
    <row r="57" spans="1:4" s="83" customFormat="1" ht="12.75" hidden="1">
      <c r="A57" s="84" t="s">
        <v>132</v>
      </c>
      <c r="B57" s="85" t="s">
        <v>96</v>
      </c>
      <c r="C57" s="86"/>
      <c r="D57" s="73"/>
    </row>
    <row r="58" spans="1:4" s="83" customFormat="1" ht="12.75" hidden="1">
      <c r="A58" s="84" t="s">
        <v>131</v>
      </c>
      <c r="B58" s="85" t="s">
        <v>97</v>
      </c>
      <c r="C58" s="86"/>
      <c r="D58" s="73"/>
    </row>
    <row r="59" spans="1:4" s="83" customFormat="1" ht="12.75" hidden="1">
      <c r="A59" s="84" t="s">
        <v>130</v>
      </c>
      <c r="B59" s="85" t="s">
        <v>98</v>
      </c>
      <c r="C59" s="86"/>
      <c r="D59" s="73"/>
    </row>
    <row r="60" spans="1:4" s="83" customFormat="1" ht="12.75" hidden="1">
      <c r="A60" s="84" t="s">
        <v>129</v>
      </c>
      <c r="B60" s="85" t="s">
        <v>99</v>
      </c>
      <c r="C60" s="86"/>
      <c r="D60" s="73"/>
    </row>
    <row r="61" spans="1:4" s="83" customFormat="1" ht="12.75" hidden="1">
      <c r="A61" s="84" t="s">
        <v>128</v>
      </c>
      <c r="B61" s="85" t="s">
        <v>100</v>
      </c>
      <c r="C61" s="86"/>
      <c r="D61" s="73"/>
    </row>
    <row r="62" spans="1:4" s="83" customFormat="1" ht="12.75" hidden="1">
      <c r="A62" s="84" t="s">
        <v>127</v>
      </c>
      <c r="B62" s="85" t="s">
        <v>126</v>
      </c>
      <c r="D62" s="73"/>
    </row>
    <row r="63" spans="1:6" s="83" customFormat="1" ht="12.75">
      <c r="A63" s="84" t="s">
        <v>211</v>
      </c>
      <c r="B63" s="85" t="s">
        <v>102</v>
      </c>
      <c r="C63" s="75">
        <f>C54+C21</f>
        <v>4594.19</v>
      </c>
      <c r="D63" s="67">
        <v>4208.62</v>
      </c>
      <c r="F63" s="120"/>
    </row>
    <row r="64" spans="1:4" s="83" customFormat="1" ht="12.75">
      <c r="A64" s="84" t="s">
        <v>54</v>
      </c>
      <c r="B64" s="85" t="s">
        <v>125</v>
      </c>
      <c r="C64" s="87">
        <f>C21/C15*1000</f>
        <v>23.50356799034962</v>
      </c>
      <c r="D64" s="68">
        <v>24.06</v>
      </c>
    </row>
    <row r="65" spans="1:4" s="83" customFormat="1" ht="12.75">
      <c r="A65" s="84" t="s">
        <v>57</v>
      </c>
      <c r="B65" s="85" t="s">
        <v>124</v>
      </c>
      <c r="C65" s="87">
        <v>28.41</v>
      </c>
      <c r="D65" s="158">
        <v>25.6</v>
      </c>
    </row>
    <row r="66" spans="1:4" s="83" customFormat="1" ht="12.75">
      <c r="A66" s="84" t="s">
        <v>58</v>
      </c>
      <c r="B66" s="85" t="s">
        <v>123</v>
      </c>
      <c r="C66" s="87">
        <f>C65*1.18</f>
        <v>33.5238</v>
      </c>
      <c r="D66" s="68">
        <v>25.6</v>
      </c>
    </row>
    <row r="67" spans="1:5" s="83" customFormat="1" ht="12.75">
      <c r="A67" s="84" t="s">
        <v>59</v>
      </c>
      <c r="B67" s="85" t="s">
        <v>122</v>
      </c>
      <c r="C67" s="88">
        <v>5421.13</v>
      </c>
      <c r="D67" s="79">
        <v>4966.17</v>
      </c>
      <c r="E67" s="66"/>
    </row>
    <row r="68" spans="1:4" s="83" customFormat="1" ht="12.75">
      <c r="A68" s="84" t="s">
        <v>121</v>
      </c>
      <c r="B68" s="85" t="s">
        <v>210</v>
      </c>
      <c r="C68" s="68">
        <f>(C19*C66)/1000</f>
        <v>3705.9555186000002</v>
      </c>
      <c r="D68" s="73">
        <v>3391.61</v>
      </c>
    </row>
    <row r="69" spans="1:4" s="83" customFormat="1" ht="12.75">
      <c r="A69" s="84" t="s">
        <v>120</v>
      </c>
      <c r="B69" s="85" t="s">
        <v>119</v>
      </c>
      <c r="C69" s="68">
        <f>C67-C68</f>
        <v>1715.1744813999999</v>
      </c>
      <c r="D69" s="148">
        <v>1574.56</v>
      </c>
    </row>
    <row r="70" spans="1:4" s="83" customFormat="1" ht="12.75">
      <c r="A70" s="84" t="s">
        <v>118</v>
      </c>
      <c r="B70" s="85" t="s">
        <v>109</v>
      </c>
      <c r="C70" s="68">
        <v>0</v>
      </c>
      <c r="D70" s="73">
        <v>0</v>
      </c>
    </row>
    <row r="71" spans="1:4" s="83" customFormat="1" ht="12.75">
      <c r="A71" s="84" t="s">
        <v>117</v>
      </c>
      <c r="B71" s="85" t="s">
        <v>110</v>
      </c>
      <c r="C71" s="87">
        <f>C54</f>
        <v>609.31</v>
      </c>
      <c r="D71" s="146">
        <f>D54</f>
        <v>255.19</v>
      </c>
    </row>
    <row r="72" ht="12.75">
      <c r="C72" s="175"/>
    </row>
    <row r="73" ht="15" hidden="1">
      <c r="A73" s="7" t="s">
        <v>209</v>
      </c>
    </row>
    <row r="74" ht="12.75" hidden="1"/>
    <row r="75" ht="15" hidden="1">
      <c r="A75" s="7" t="s">
        <v>208</v>
      </c>
    </row>
    <row r="76" ht="12.75" hidden="1"/>
    <row r="77" ht="15" hidden="1">
      <c r="A77" s="62" t="s">
        <v>347</v>
      </c>
    </row>
    <row r="78" ht="12.75" hidden="1"/>
    <row r="79" spans="1:3" ht="12.75">
      <c r="A79" s="3" t="s">
        <v>385</v>
      </c>
      <c r="B79" s="66"/>
      <c r="C79" s="112" t="s">
        <v>387</v>
      </c>
    </row>
    <row r="80" spans="1:3" ht="12.75">
      <c r="A80"/>
      <c r="B80" s="66"/>
      <c r="C80" s="66"/>
    </row>
    <row r="81" spans="1:3" ht="12.75">
      <c r="A81" s="3" t="s">
        <v>386</v>
      </c>
      <c r="B81" s="66"/>
      <c r="C81" s="112" t="s">
        <v>388</v>
      </c>
    </row>
    <row r="82" spans="1:3" ht="12.75">
      <c r="A82"/>
      <c r="B82" s="66"/>
      <c r="C82" s="66"/>
    </row>
    <row r="83" spans="1:3" ht="12.75">
      <c r="A83" s="115" t="s">
        <v>389</v>
      </c>
      <c r="B83" s="116"/>
      <c r="C83" s="116" t="s">
        <v>390</v>
      </c>
    </row>
    <row r="84" spans="1:3" ht="12.75">
      <c r="A84"/>
      <c r="B84" s="66"/>
      <c r="C84" s="66"/>
    </row>
    <row r="85" spans="1:3" ht="12.75">
      <c r="A85" s="115"/>
      <c r="B85" s="116"/>
      <c r="C85" s="116"/>
    </row>
  </sheetData>
  <sheetProtection/>
  <mergeCells count="3"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77"/>
  <sheetViews>
    <sheetView zoomScale="120" zoomScaleNormal="120" zoomScalePageLayoutView="0" workbookViewId="0" topLeftCell="A30">
      <selection activeCell="A1" sqref="A1:D76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6.7109375" style="66" customWidth="1"/>
    <col min="4" max="4" width="17.57421875" style="66" customWidth="1"/>
  </cols>
  <sheetData>
    <row r="1" spans="1:4" ht="12.75">
      <c r="A1" s="204" t="s">
        <v>391</v>
      </c>
      <c r="B1" s="204"/>
      <c r="C1" s="204"/>
      <c r="D1" s="204"/>
    </row>
    <row r="2" spans="1:4" ht="12.75">
      <c r="A2" s="204" t="s">
        <v>256</v>
      </c>
      <c r="B2" s="204"/>
      <c r="C2" s="204"/>
      <c r="D2" s="204"/>
    </row>
    <row r="3" spans="1:4" ht="12.75">
      <c r="A3" s="204" t="s">
        <v>206</v>
      </c>
      <c r="B3" s="204"/>
      <c r="C3" s="204"/>
      <c r="D3" s="204"/>
    </row>
    <row r="6" ht="12.75">
      <c r="D6" s="90" t="s">
        <v>2</v>
      </c>
    </row>
    <row r="7" spans="1:4" ht="31.5">
      <c r="A7" s="29" t="s">
        <v>3</v>
      </c>
      <c r="B7" s="24" t="s">
        <v>60</v>
      </c>
      <c r="C7" s="176" t="s">
        <v>112</v>
      </c>
      <c r="D7" s="27" t="s">
        <v>111</v>
      </c>
    </row>
    <row r="8" spans="1:4" ht="12.75">
      <c r="A8" s="8" t="s">
        <v>4</v>
      </c>
      <c r="B8" s="42" t="s">
        <v>8</v>
      </c>
      <c r="C8" s="73" t="s">
        <v>9</v>
      </c>
      <c r="D8" s="91" t="s">
        <v>13</v>
      </c>
    </row>
    <row r="9" spans="1:4" ht="12.75">
      <c r="A9" s="10" t="s">
        <v>4</v>
      </c>
      <c r="B9" s="9" t="s">
        <v>255</v>
      </c>
      <c r="C9" s="92">
        <v>245.25</v>
      </c>
      <c r="D9" s="145">
        <v>251.3</v>
      </c>
    </row>
    <row r="10" spans="1:4" ht="12.75">
      <c r="A10" s="10" t="s">
        <v>8</v>
      </c>
      <c r="B10" s="9" t="s">
        <v>254</v>
      </c>
      <c r="C10" s="177"/>
      <c r="D10" s="145"/>
    </row>
    <row r="11" spans="1:4" ht="12.75">
      <c r="A11" s="10" t="s">
        <v>9</v>
      </c>
      <c r="B11" s="9" t="s">
        <v>253</v>
      </c>
      <c r="C11" s="92">
        <v>101.3</v>
      </c>
      <c r="D11" s="145">
        <v>36.25</v>
      </c>
    </row>
    <row r="12" spans="1:4" ht="12.75">
      <c r="A12" s="10" t="s">
        <v>13</v>
      </c>
      <c r="B12" s="9" t="s">
        <v>252</v>
      </c>
      <c r="C12" s="92">
        <v>42460</v>
      </c>
      <c r="D12" s="145">
        <v>43560</v>
      </c>
    </row>
    <row r="13" spans="1:4" ht="12.75">
      <c r="A13" s="10" t="s">
        <v>42</v>
      </c>
      <c r="B13" s="9" t="s">
        <v>251</v>
      </c>
      <c r="C13" s="87">
        <v>1152.76</v>
      </c>
      <c r="D13" s="145">
        <v>1113.3</v>
      </c>
    </row>
    <row r="14" spans="1:4" ht="12.75">
      <c r="A14" s="10" t="s">
        <v>51</v>
      </c>
      <c r="B14" s="9" t="s">
        <v>250</v>
      </c>
      <c r="C14" s="92">
        <v>28.77</v>
      </c>
      <c r="D14" s="145">
        <v>27.52</v>
      </c>
    </row>
    <row r="15" spans="1:4" ht="12.75">
      <c r="A15" s="10" t="s">
        <v>52</v>
      </c>
      <c r="B15" s="9" t="s">
        <v>249</v>
      </c>
      <c r="C15" s="87">
        <f>C16+C17</f>
        <v>1123.99</v>
      </c>
      <c r="D15" s="75">
        <v>1085.78</v>
      </c>
    </row>
    <row r="16" spans="1:4" ht="12.75">
      <c r="A16" s="10" t="s">
        <v>211</v>
      </c>
      <c r="B16" s="9" t="s">
        <v>248</v>
      </c>
      <c r="C16" s="92">
        <v>53.52</v>
      </c>
      <c r="D16" s="145">
        <v>51.71</v>
      </c>
    </row>
    <row r="17" spans="1:5" ht="12.75">
      <c r="A17" s="10" t="s">
        <v>54</v>
      </c>
      <c r="B17" s="9" t="s">
        <v>383</v>
      </c>
      <c r="C17" s="92">
        <f>C19</f>
        <v>1070.47</v>
      </c>
      <c r="D17" s="147">
        <v>1034.07</v>
      </c>
      <c r="E17" s="47"/>
    </row>
    <row r="18" spans="1:4" ht="12.75" hidden="1">
      <c r="A18" s="10" t="s">
        <v>57</v>
      </c>
      <c r="B18" s="9" t="s">
        <v>247</v>
      </c>
      <c r="C18" s="92">
        <v>0</v>
      </c>
      <c r="D18" s="145">
        <v>0</v>
      </c>
    </row>
    <row r="19" spans="1:4" ht="21">
      <c r="A19" s="10" t="s">
        <v>58</v>
      </c>
      <c r="B19" s="18" t="s">
        <v>246</v>
      </c>
      <c r="C19" s="92">
        <f>C20+C21+C22</f>
        <v>1070.47</v>
      </c>
      <c r="D19" s="71">
        <v>1034.07</v>
      </c>
    </row>
    <row r="20" spans="1:4" ht="12.75">
      <c r="A20" s="10" t="s">
        <v>245</v>
      </c>
      <c r="B20" s="9" t="s">
        <v>187</v>
      </c>
      <c r="C20" s="92">
        <v>652.12</v>
      </c>
      <c r="D20" s="145">
        <v>636.75</v>
      </c>
    </row>
    <row r="21" spans="1:4" ht="12.75">
      <c r="A21" s="10" t="s">
        <v>244</v>
      </c>
      <c r="B21" s="9" t="s">
        <v>185</v>
      </c>
      <c r="C21" s="92">
        <v>291.7</v>
      </c>
      <c r="D21" s="145">
        <v>291.7</v>
      </c>
    </row>
    <row r="22" spans="1:4" ht="12.75">
      <c r="A22" s="10" t="s">
        <v>243</v>
      </c>
      <c r="B22" s="9" t="s">
        <v>183</v>
      </c>
      <c r="C22" s="92">
        <f>65.66+60.99</f>
        <v>126.65</v>
      </c>
      <c r="D22" s="145">
        <v>345.05</v>
      </c>
    </row>
    <row r="23" spans="1:5" s="66" customFormat="1" ht="12.75">
      <c r="A23" s="73" t="s">
        <v>59</v>
      </c>
      <c r="B23" s="74" t="s">
        <v>70</v>
      </c>
      <c r="C23" s="75">
        <f>C24+C25+C26+C28+C29+C30+C40+C41+C45</f>
        <v>2258.72</v>
      </c>
      <c r="D23" s="75">
        <v>2269.66</v>
      </c>
      <c r="E23" s="122"/>
    </row>
    <row r="24" spans="1:4" ht="12.75">
      <c r="A24" s="10" t="s">
        <v>121</v>
      </c>
      <c r="B24" s="9" t="s">
        <v>242</v>
      </c>
      <c r="C24" s="87">
        <v>40.77</v>
      </c>
      <c r="D24" s="160">
        <v>2.21</v>
      </c>
    </row>
    <row r="25" spans="1:4" ht="12.75">
      <c r="A25" s="10" t="s">
        <v>120</v>
      </c>
      <c r="B25" s="9" t="s">
        <v>73</v>
      </c>
      <c r="C25" s="87">
        <v>125.99</v>
      </c>
      <c r="D25" s="160">
        <v>119.3</v>
      </c>
    </row>
    <row r="26" spans="1:6" ht="12.75">
      <c r="A26" s="10" t="s">
        <v>118</v>
      </c>
      <c r="B26" s="9" t="s">
        <v>350</v>
      </c>
      <c r="C26" s="68">
        <v>1065.62</v>
      </c>
      <c r="D26" s="160">
        <v>907.71</v>
      </c>
      <c r="F26" s="47"/>
    </row>
    <row r="27" spans="1:4" ht="12.75">
      <c r="A27" s="10" t="s">
        <v>241</v>
      </c>
      <c r="B27" s="9" t="s">
        <v>75</v>
      </c>
      <c r="C27" s="68">
        <v>0</v>
      </c>
      <c r="D27" s="160">
        <v>734.73</v>
      </c>
    </row>
    <row r="28" spans="1:4" ht="12.75">
      <c r="A28" s="10" t="s">
        <v>240</v>
      </c>
      <c r="B28" s="9" t="s">
        <v>76</v>
      </c>
      <c r="C28" s="104">
        <v>638.47</v>
      </c>
      <c r="D28" s="160">
        <v>217.94</v>
      </c>
    </row>
    <row r="29" spans="1:6" ht="21">
      <c r="A29" s="10" t="s">
        <v>239</v>
      </c>
      <c r="B29" s="18" t="s">
        <v>77</v>
      </c>
      <c r="C29" s="178">
        <v>199.74</v>
      </c>
      <c r="D29" s="160">
        <v>24.26</v>
      </c>
      <c r="F29" s="47"/>
    </row>
    <row r="30" spans="1:4" ht="12.75">
      <c r="A30" s="10" t="s">
        <v>238</v>
      </c>
      <c r="B30" s="9" t="s">
        <v>78</v>
      </c>
      <c r="C30" s="104">
        <v>46.16</v>
      </c>
      <c r="D30" s="160">
        <v>2.73</v>
      </c>
    </row>
    <row r="31" spans="1:6" ht="12.75">
      <c r="A31" s="10" t="s">
        <v>237</v>
      </c>
      <c r="B31" s="9" t="s">
        <v>164</v>
      </c>
      <c r="C31" s="104">
        <v>0</v>
      </c>
      <c r="D31" s="160"/>
      <c r="F31" s="47"/>
    </row>
    <row r="32" spans="1:4" ht="12.75">
      <c r="A32" s="10" t="s">
        <v>236</v>
      </c>
      <c r="B32" s="16" t="s">
        <v>351</v>
      </c>
      <c r="C32" s="104">
        <v>0</v>
      </c>
      <c r="D32" s="145"/>
    </row>
    <row r="33" spans="1:4" ht="12.75">
      <c r="A33" s="10" t="s">
        <v>235</v>
      </c>
      <c r="B33" s="16" t="s">
        <v>160</v>
      </c>
      <c r="C33" s="104"/>
      <c r="D33" s="145"/>
    </row>
    <row r="34" spans="1:4" ht="21">
      <c r="A34" s="10" t="s">
        <v>234</v>
      </c>
      <c r="B34" s="18" t="s">
        <v>233</v>
      </c>
      <c r="C34" s="104"/>
      <c r="D34" s="145"/>
    </row>
    <row r="35" spans="1:4" ht="12.75">
      <c r="A35" s="10" t="s">
        <v>232</v>
      </c>
      <c r="B35" s="9" t="s">
        <v>80</v>
      </c>
      <c r="C35" s="68">
        <v>0</v>
      </c>
      <c r="D35" s="145"/>
    </row>
    <row r="36" spans="1:4" ht="12.75">
      <c r="A36" s="10" t="s">
        <v>231</v>
      </c>
      <c r="B36" s="16" t="s">
        <v>81</v>
      </c>
      <c r="C36" s="104"/>
      <c r="D36" s="145"/>
    </row>
    <row r="37" spans="1:4" ht="12.75">
      <c r="A37" s="10" t="s">
        <v>230</v>
      </c>
      <c r="B37" s="18" t="s">
        <v>229</v>
      </c>
      <c r="C37" s="68"/>
      <c r="D37" s="145"/>
    </row>
    <row r="38" spans="1:4" ht="12.75">
      <c r="A38" s="10" t="s">
        <v>228</v>
      </c>
      <c r="B38" s="9" t="s">
        <v>83</v>
      </c>
      <c r="C38" s="104"/>
      <c r="D38" s="145"/>
    </row>
    <row r="39" spans="1:4" ht="12.75">
      <c r="A39" s="10" t="s">
        <v>227</v>
      </c>
      <c r="B39" s="9" t="s">
        <v>354</v>
      </c>
      <c r="C39" s="104">
        <v>141.01</v>
      </c>
      <c r="D39" s="147">
        <v>251.66</v>
      </c>
    </row>
    <row r="40" spans="1:4" ht="12.75">
      <c r="A40" s="10" t="s">
        <v>226</v>
      </c>
      <c r="B40" s="16" t="s">
        <v>91</v>
      </c>
      <c r="C40" s="87">
        <f>C39-C41</f>
        <v>98.42498</v>
      </c>
      <c r="D40" s="75">
        <v>156.03</v>
      </c>
    </row>
    <row r="41" spans="1:4" ht="12.75">
      <c r="A41" s="10" t="s">
        <v>225</v>
      </c>
      <c r="B41" s="16" t="s">
        <v>143</v>
      </c>
      <c r="C41" s="87">
        <f>C39*30.2%</f>
        <v>42.58501999999999</v>
      </c>
      <c r="D41" s="75">
        <v>46.7</v>
      </c>
    </row>
    <row r="42" spans="1:4" ht="12.75">
      <c r="A42" s="10" t="s">
        <v>224</v>
      </c>
      <c r="B42" s="9" t="s">
        <v>353</v>
      </c>
      <c r="C42" s="92">
        <f>C43+C45</f>
        <v>0.96</v>
      </c>
      <c r="D42" s="71"/>
    </row>
    <row r="43" spans="1:4" ht="12.75">
      <c r="A43" s="10" t="s">
        <v>223</v>
      </c>
      <c r="B43" s="9" t="s">
        <v>213</v>
      </c>
      <c r="C43" s="179">
        <v>0</v>
      </c>
      <c r="D43" s="145"/>
    </row>
    <row r="44" spans="1:4" ht="12.75">
      <c r="A44" s="10" t="s">
        <v>222</v>
      </c>
      <c r="B44" s="9" t="s">
        <v>221</v>
      </c>
      <c r="C44" s="92">
        <v>0</v>
      </c>
      <c r="D44" s="145">
        <v>0.74</v>
      </c>
    </row>
    <row r="45" spans="1:4" ht="12.75">
      <c r="A45" s="10" t="s">
        <v>220</v>
      </c>
      <c r="B45" s="9" t="s">
        <v>212</v>
      </c>
      <c r="C45" s="92">
        <f>0.96</f>
        <v>0.96</v>
      </c>
      <c r="D45" s="145">
        <v>8.36</v>
      </c>
    </row>
    <row r="46" spans="1:4" ht="12.75" hidden="1">
      <c r="A46" s="10" t="s">
        <v>219</v>
      </c>
      <c r="B46" s="41"/>
      <c r="C46" s="177"/>
      <c r="D46" s="145"/>
    </row>
    <row r="47" spans="1:5" ht="12.75">
      <c r="A47" s="10" t="s">
        <v>117</v>
      </c>
      <c r="B47" s="19" t="s">
        <v>93</v>
      </c>
      <c r="C47" s="68">
        <f>2365.52+C63-C23</f>
        <v>190.61000000000013</v>
      </c>
      <c r="D47" s="147">
        <v>583.51</v>
      </c>
      <c r="E47" s="66"/>
    </row>
    <row r="48" spans="1:4" ht="12.75" hidden="1">
      <c r="A48" s="10" t="s">
        <v>218</v>
      </c>
      <c r="B48" s="9" t="s">
        <v>94</v>
      </c>
      <c r="C48" s="177"/>
      <c r="D48" s="149"/>
    </row>
    <row r="49" spans="1:4" ht="12.75" hidden="1">
      <c r="A49" s="10" t="s">
        <v>217</v>
      </c>
      <c r="B49" s="9" t="s">
        <v>95</v>
      </c>
      <c r="C49" s="177"/>
      <c r="D49" s="145"/>
    </row>
    <row r="50" spans="1:4" ht="12.75" hidden="1">
      <c r="A50" s="10" t="s">
        <v>216</v>
      </c>
      <c r="B50" s="9" t="s">
        <v>96</v>
      </c>
      <c r="C50" s="177"/>
      <c r="D50" s="145"/>
    </row>
    <row r="51" spans="1:4" ht="12.75" hidden="1">
      <c r="A51" s="10" t="s">
        <v>275</v>
      </c>
      <c r="B51" s="9" t="s">
        <v>97</v>
      </c>
      <c r="C51" s="177"/>
      <c r="D51" s="150"/>
    </row>
    <row r="52" spans="1:4" ht="12.75" hidden="1">
      <c r="A52" s="10" t="s">
        <v>274</v>
      </c>
      <c r="B52" s="9" t="s">
        <v>98</v>
      </c>
      <c r="C52" s="177"/>
      <c r="D52" s="150"/>
    </row>
    <row r="53" spans="1:4" ht="12.75" hidden="1">
      <c r="A53" s="10" t="s">
        <v>273</v>
      </c>
      <c r="B53" s="9" t="s">
        <v>272</v>
      </c>
      <c r="C53" s="177"/>
      <c r="D53" s="150"/>
    </row>
    <row r="54" spans="1:4" ht="12.75" hidden="1">
      <c r="A54" s="10" t="s">
        <v>271</v>
      </c>
      <c r="B54" s="9" t="s">
        <v>100</v>
      </c>
      <c r="C54" s="177"/>
      <c r="D54" s="150"/>
    </row>
    <row r="55" spans="1:4" ht="12.75" hidden="1">
      <c r="A55" s="10" t="s">
        <v>270</v>
      </c>
      <c r="B55" s="9" t="s">
        <v>126</v>
      </c>
      <c r="C55" s="177"/>
      <c r="D55" s="150"/>
    </row>
    <row r="56" spans="1:4" ht="12.75">
      <c r="A56" s="10" t="s">
        <v>269</v>
      </c>
      <c r="B56" s="19" t="s">
        <v>102</v>
      </c>
      <c r="C56" s="87">
        <f>+C23+C47-83.81</f>
        <v>2365.52</v>
      </c>
      <c r="D56" s="75">
        <v>2853.17</v>
      </c>
    </row>
    <row r="57" spans="1:4" ht="12.75">
      <c r="A57" s="10" t="s">
        <v>268</v>
      </c>
      <c r="B57" s="9" t="s">
        <v>267</v>
      </c>
      <c r="C57" s="87">
        <f>ROUND(C23/C17*1000,2)</f>
        <v>2110.03</v>
      </c>
      <c r="D57" s="87">
        <v>2194.88</v>
      </c>
    </row>
    <row r="58" spans="1:4" ht="21">
      <c r="A58" s="10" t="s">
        <v>266</v>
      </c>
      <c r="B58" s="18" t="s">
        <v>265</v>
      </c>
      <c r="C58" s="87">
        <v>2759.17</v>
      </c>
      <c r="D58" s="73">
        <v>2759.17</v>
      </c>
    </row>
    <row r="59" spans="1:4" ht="12.75">
      <c r="A59" s="10" t="s">
        <v>264</v>
      </c>
      <c r="B59" s="9" t="s">
        <v>263</v>
      </c>
      <c r="C59" s="87">
        <f>C58*1.18</f>
        <v>3255.8206</v>
      </c>
      <c r="D59" s="87">
        <f>D58*1.18</f>
        <v>3255.8206</v>
      </c>
    </row>
    <row r="60" spans="1:4" ht="12.75">
      <c r="A60" s="10" t="s">
        <v>262</v>
      </c>
      <c r="B60" s="19" t="s">
        <v>261</v>
      </c>
      <c r="C60" s="94">
        <v>2875.12</v>
      </c>
      <c r="D60" s="93">
        <v>3366.74</v>
      </c>
    </row>
    <row r="61" spans="1:4" ht="12.75">
      <c r="A61" s="10" t="s">
        <v>260</v>
      </c>
      <c r="B61" s="9" t="s">
        <v>210</v>
      </c>
      <c r="C61" s="94">
        <f>(C21*C58)/1000</f>
        <v>804.849889</v>
      </c>
      <c r="D61" s="94">
        <v>804.85</v>
      </c>
    </row>
    <row r="62" spans="1:4" ht="12.75">
      <c r="A62" s="10" t="s">
        <v>259</v>
      </c>
      <c r="B62" s="9" t="s">
        <v>119</v>
      </c>
      <c r="C62" s="94">
        <f>C60-C61-C63</f>
        <v>1986.4601109999999</v>
      </c>
      <c r="D62" s="94">
        <v>2561.89</v>
      </c>
    </row>
    <row r="63" spans="1:4" ht="12.75">
      <c r="A63" s="10" t="s">
        <v>258</v>
      </c>
      <c r="B63" s="9" t="s">
        <v>109</v>
      </c>
      <c r="C63" s="94">
        <v>83.81</v>
      </c>
      <c r="D63" s="73">
        <v>0</v>
      </c>
    </row>
    <row r="64" spans="1:4" ht="12.75">
      <c r="A64" s="10" t="s">
        <v>257</v>
      </c>
      <c r="B64" s="19" t="s">
        <v>110</v>
      </c>
      <c r="C64" s="94">
        <f>C47</f>
        <v>190.61000000000013</v>
      </c>
      <c r="D64" s="93">
        <v>583.51</v>
      </c>
    </row>
    <row r="65" ht="12.75">
      <c r="F65" s="47"/>
    </row>
    <row r="66" spans="1:2" ht="15" hidden="1">
      <c r="A66" s="7" t="s">
        <v>209</v>
      </c>
      <c r="B66" s="6"/>
    </row>
    <row r="67" spans="1:2" ht="12.75" hidden="1">
      <c r="A67" s="6"/>
      <c r="B67" s="6"/>
    </row>
    <row r="68" spans="1:2" ht="15" hidden="1">
      <c r="A68" s="7" t="s">
        <v>208</v>
      </c>
      <c r="B68" s="6"/>
    </row>
    <row r="69" spans="1:2" ht="12.75" hidden="1">
      <c r="A69" s="6"/>
      <c r="B69" s="6"/>
    </row>
    <row r="70" spans="1:2" ht="15" hidden="1">
      <c r="A70" s="62" t="s">
        <v>347</v>
      </c>
      <c r="B70" s="6"/>
    </row>
    <row r="71" spans="1:2" ht="12.75">
      <c r="A71" s="6"/>
      <c r="B71" s="6"/>
    </row>
    <row r="72" spans="1:4" ht="12.75">
      <c r="A72" s="3" t="s">
        <v>385</v>
      </c>
      <c r="B72" s="66"/>
      <c r="C72" s="112" t="s">
        <v>387</v>
      </c>
      <c r="D72" s="83"/>
    </row>
    <row r="73" spans="2:4" ht="12.75">
      <c r="B73" s="66"/>
      <c r="D73" s="83"/>
    </row>
    <row r="74" spans="1:4" ht="12.75">
      <c r="A74" s="3" t="s">
        <v>386</v>
      </c>
      <c r="B74" s="66"/>
      <c r="C74" s="112" t="s">
        <v>388</v>
      </c>
      <c r="D74" s="83"/>
    </row>
    <row r="75" spans="2:4" ht="12.75">
      <c r="B75" s="66"/>
      <c r="D75" s="83"/>
    </row>
    <row r="76" spans="1:4" ht="12.75">
      <c r="A76" s="115" t="s">
        <v>389</v>
      </c>
      <c r="B76" s="116"/>
      <c r="C76" s="116" t="s">
        <v>390</v>
      </c>
      <c r="D76" s="83"/>
    </row>
    <row r="77" spans="1:2" ht="12.75">
      <c r="A77" s="6"/>
      <c r="B77" s="6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77"/>
  <sheetViews>
    <sheetView zoomScale="164" zoomScaleNormal="164" zoomScalePageLayoutView="0" workbookViewId="0" topLeftCell="A50">
      <selection activeCell="A1" sqref="A1:D76"/>
    </sheetView>
  </sheetViews>
  <sheetFormatPr defaultColWidth="9.140625" defaultRowHeight="12.75"/>
  <cols>
    <col min="1" max="1" width="9.421875" style="0" customWidth="1"/>
    <col min="2" max="2" width="29.57421875" style="0" customWidth="1"/>
    <col min="3" max="3" width="16.57421875" style="66" customWidth="1"/>
    <col min="4" max="4" width="17.7109375" style="66" customWidth="1"/>
    <col min="6" max="6" width="11.00390625" style="0" bestFit="1" customWidth="1"/>
  </cols>
  <sheetData>
    <row r="1" ht="12.75">
      <c r="B1" s="30" t="s">
        <v>391</v>
      </c>
    </row>
    <row r="2" ht="12.75">
      <c r="B2" s="30" t="s">
        <v>256</v>
      </c>
    </row>
    <row r="3" ht="12.75">
      <c r="B3" s="30" t="s">
        <v>1</v>
      </c>
    </row>
    <row r="5" ht="12.75">
      <c r="D5" s="90" t="s">
        <v>2</v>
      </c>
    </row>
    <row r="6" spans="1:4" ht="31.5">
      <c r="A6" s="29" t="s">
        <v>3</v>
      </c>
      <c r="B6" s="44" t="s">
        <v>60</v>
      </c>
      <c r="C6" s="176" t="s">
        <v>112</v>
      </c>
      <c r="D6" s="27" t="s">
        <v>111</v>
      </c>
    </row>
    <row r="7" spans="1:4" ht="12.75">
      <c r="A7" s="8" t="s">
        <v>4</v>
      </c>
      <c r="B7" s="24" t="s">
        <v>8</v>
      </c>
      <c r="C7" s="164" t="s">
        <v>9</v>
      </c>
      <c r="D7" s="91" t="s">
        <v>13</v>
      </c>
    </row>
    <row r="8" spans="1:4" ht="12.75">
      <c r="A8" s="10" t="s">
        <v>4</v>
      </c>
      <c r="B8" s="9" t="s">
        <v>255</v>
      </c>
      <c r="C8" s="72"/>
      <c r="D8" s="98"/>
    </row>
    <row r="9" spans="1:4" ht="12.75">
      <c r="A9" s="10" t="s">
        <v>8</v>
      </c>
      <c r="B9" s="9" t="s">
        <v>254</v>
      </c>
      <c r="C9" s="92">
        <v>7235322.69</v>
      </c>
      <c r="D9" s="134">
        <v>6094726</v>
      </c>
    </row>
    <row r="10" spans="1:4" ht="12.75">
      <c r="A10" s="10" t="s">
        <v>9</v>
      </c>
      <c r="B10" s="9" t="s">
        <v>253</v>
      </c>
      <c r="C10" s="92">
        <v>19619.2</v>
      </c>
      <c r="D10" s="144">
        <v>24852.7</v>
      </c>
    </row>
    <row r="11" spans="1:4" ht="12.75">
      <c r="A11" s="10" t="s">
        <v>13</v>
      </c>
      <c r="B11" s="9" t="s">
        <v>252</v>
      </c>
      <c r="C11" s="92">
        <v>1452480</v>
      </c>
      <c r="D11" s="134">
        <v>1332760</v>
      </c>
    </row>
    <row r="12" spans="1:4" ht="12.75">
      <c r="A12" s="10" t="s">
        <v>42</v>
      </c>
      <c r="B12" s="18" t="s">
        <v>251</v>
      </c>
      <c r="C12" s="75">
        <f>C13+C14</f>
        <v>47826.479999999996</v>
      </c>
      <c r="D12" s="87">
        <v>48007.68</v>
      </c>
    </row>
    <row r="13" spans="1:4" ht="21">
      <c r="A13" s="10" t="s">
        <v>51</v>
      </c>
      <c r="B13" s="18" t="s">
        <v>250</v>
      </c>
      <c r="C13" s="92">
        <v>797.75</v>
      </c>
      <c r="D13" s="134">
        <v>707.79</v>
      </c>
    </row>
    <row r="14" spans="1:4" ht="12.75">
      <c r="A14" s="8" t="s">
        <v>52</v>
      </c>
      <c r="B14" s="18" t="s">
        <v>249</v>
      </c>
      <c r="C14" s="87">
        <f>C16+C15</f>
        <v>47028.729999999996</v>
      </c>
      <c r="D14" s="87">
        <v>47299.89</v>
      </c>
    </row>
    <row r="15" spans="1:4" ht="12.75">
      <c r="A15" s="10" t="s">
        <v>211</v>
      </c>
      <c r="B15" s="9" t="s">
        <v>248</v>
      </c>
      <c r="C15" s="92">
        <v>2239.44</v>
      </c>
      <c r="D15" s="134">
        <v>2252.38</v>
      </c>
    </row>
    <row r="16" spans="1:4" ht="12.75">
      <c r="A16" s="10" t="s">
        <v>54</v>
      </c>
      <c r="B16" s="9" t="s">
        <v>276</v>
      </c>
      <c r="C16" s="71">
        <f>C17+C18</f>
        <v>44789.28999999999</v>
      </c>
      <c r="D16" s="92">
        <v>45047.51</v>
      </c>
    </row>
    <row r="17" spans="1:4" ht="21">
      <c r="A17" s="10" t="s">
        <v>57</v>
      </c>
      <c r="B17" s="18" t="s">
        <v>247</v>
      </c>
      <c r="C17" s="71">
        <f>1825</f>
        <v>1825</v>
      </c>
      <c r="D17" s="134">
        <v>1658.78</v>
      </c>
    </row>
    <row r="18" spans="1:4" ht="21">
      <c r="A18" s="10" t="s">
        <v>58</v>
      </c>
      <c r="B18" s="18" t="s">
        <v>246</v>
      </c>
      <c r="C18" s="92">
        <f>C19+C20+C21</f>
        <v>42964.28999999999</v>
      </c>
      <c r="D18" s="92">
        <v>43388.73</v>
      </c>
    </row>
    <row r="19" spans="1:4" ht="12.75">
      <c r="A19" s="10" t="s">
        <v>245</v>
      </c>
      <c r="B19" s="18" t="s">
        <v>187</v>
      </c>
      <c r="C19" s="71">
        <v>6008.97</v>
      </c>
      <c r="D19" s="134">
        <v>7356.7</v>
      </c>
    </row>
    <row r="20" spans="1:4" ht="12.75">
      <c r="A20" s="10" t="s">
        <v>244</v>
      </c>
      <c r="B20" s="9" t="s">
        <v>185</v>
      </c>
      <c r="C20" s="71">
        <v>29229.98</v>
      </c>
      <c r="D20" s="134">
        <v>30271.24</v>
      </c>
    </row>
    <row r="21" spans="1:4" ht="12.75">
      <c r="A21" s="10" t="s">
        <v>243</v>
      </c>
      <c r="B21" s="9" t="s">
        <v>183</v>
      </c>
      <c r="C21" s="71">
        <v>7725.34</v>
      </c>
      <c r="D21" s="134">
        <v>5760.79</v>
      </c>
    </row>
    <row r="22" spans="1:6" ht="12.75">
      <c r="A22" s="10" t="s">
        <v>59</v>
      </c>
      <c r="B22" s="19" t="s">
        <v>70</v>
      </c>
      <c r="C22" s="87">
        <f>C23+C24+C25+C26+C27+C28+C29+C30+C31+C35+C38</f>
        <v>44594.78999999999</v>
      </c>
      <c r="D22" s="87">
        <v>36653.2</v>
      </c>
      <c r="E22" s="47"/>
      <c r="F22" s="47"/>
    </row>
    <row r="23" spans="1:4" ht="12.75">
      <c r="A23" s="10" t="s">
        <v>121</v>
      </c>
      <c r="B23" s="9" t="s">
        <v>242</v>
      </c>
      <c r="C23" s="87">
        <v>539.72</v>
      </c>
      <c r="D23" s="134">
        <v>636.22</v>
      </c>
    </row>
    <row r="24" spans="1:4" ht="12.75">
      <c r="A24" s="10" t="s">
        <v>120</v>
      </c>
      <c r="B24" s="9" t="s">
        <v>73</v>
      </c>
      <c r="C24" s="87">
        <v>4267.77</v>
      </c>
      <c r="D24" s="134">
        <v>3508.06</v>
      </c>
    </row>
    <row r="25" spans="1:4" ht="12.75">
      <c r="A25" s="10" t="s">
        <v>118</v>
      </c>
      <c r="B25" s="9" t="s">
        <v>355</v>
      </c>
      <c r="C25" s="87">
        <v>168.6</v>
      </c>
      <c r="D25" s="134"/>
    </row>
    <row r="26" spans="1:4" ht="12.75">
      <c r="A26" s="10" t="s">
        <v>241</v>
      </c>
      <c r="B26" s="43" t="s">
        <v>352</v>
      </c>
      <c r="C26" s="87">
        <v>20448.86</v>
      </c>
      <c r="D26" s="134">
        <v>15481.82</v>
      </c>
    </row>
    <row r="27" spans="1:4" ht="12.75">
      <c r="A27" s="10" t="s">
        <v>240</v>
      </c>
      <c r="B27" s="9" t="s">
        <v>75</v>
      </c>
      <c r="C27" s="87">
        <v>2.43</v>
      </c>
      <c r="D27" s="134">
        <v>2784.4</v>
      </c>
    </row>
    <row r="28" spans="1:4" ht="21">
      <c r="A28" s="10" t="s">
        <v>239</v>
      </c>
      <c r="B28" s="18" t="s">
        <v>76</v>
      </c>
      <c r="C28" s="87">
        <v>5110</v>
      </c>
      <c r="D28" s="134">
        <v>5078.23</v>
      </c>
    </row>
    <row r="29" spans="1:4" ht="31.5">
      <c r="A29" s="10" t="s">
        <v>238</v>
      </c>
      <c r="B29" s="18" t="s">
        <v>77</v>
      </c>
      <c r="C29" s="87">
        <v>1621.01</v>
      </c>
      <c r="D29" s="134">
        <v>1520.17</v>
      </c>
    </row>
    <row r="30" spans="1:4" ht="12.75">
      <c r="A30" s="10" t="s">
        <v>237</v>
      </c>
      <c r="B30" s="9" t="s">
        <v>78</v>
      </c>
      <c r="C30" s="92">
        <v>607.15</v>
      </c>
      <c r="D30" s="134">
        <v>599.24</v>
      </c>
    </row>
    <row r="31" spans="1:5" ht="21">
      <c r="A31" s="10" t="s">
        <v>232</v>
      </c>
      <c r="B31" s="18" t="s">
        <v>164</v>
      </c>
      <c r="C31" s="92">
        <v>7357.92</v>
      </c>
      <c r="D31" s="134">
        <v>2610.24</v>
      </c>
      <c r="E31" s="70"/>
    </row>
    <row r="32" spans="1:4" ht="12.75" customHeight="1" hidden="1">
      <c r="A32" s="97" t="s">
        <v>356</v>
      </c>
      <c r="B32" s="16" t="s">
        <v>162</v>
      </c>
      <c r="C32" s="95"/>
      <c r="D32" s="144"/>
    </row>
    <row r="33" spans="1:4" ht="12.75">
      <c r="A33" s="97" t="s">
        <v>356</v>
      </c>
      <c r="B33" s="18" t="s">
        <v>160</v>
      </c>
      <c r="C33" s="92">
        <v>2481.1</v>
      </c>
      <c r="D33" s="148">
        <v>2008.6</v>
      </c>
    </row>
    <row r="34" spans="1:4" ht="21">
      <c r="A34" s="97" t="s">
        <v>356</v>
      </c>
      <c r="B34" s="18" t="s">
        <v>158</v>
      </c>
      <c r="C34" s="92">
        <v>753.56</v>
      </c>
      <c r="D34" s="148">
        <v>601.64</v>
      </c>
    </row>
    <row r="35" spans="1:5" ht="12.75">
      <c r="A35" s="96" t="s">
        <v>357</v>
      </c>
      <c r="B35" s="9" t="s">
        <v>80</v>
      </c>
      <c r="C35" s="87">
        <f>223.5+349.7+333.41+100.95</f>
        <v>1007.5600000000002</v>
      </c>
      <c r="D35" s="144">
        <v>1317.63</v>
      </c>
      <c r="E35" s="63"/>
    </row>
    <row r="36" spans="1:4" ht="12.75">
      <c r="A36" s="96" t="s">
        <v>359</v>
      </c>
      <c r="B36" s="16" t="s">
        <v>81</v>
      </c>
      <c r="C36" s="92">
        <v>333.41</v>
      </c>
      <c r="D36" s="144">
        <v>514.5</v>
      </c>
    </row>
    <row r="37" spans="1:4" ht="21">
      <c r="A37" s="96" t="s">
        <v>360</v>
      </c>
      <c r="B37" s="18" t="s">
        <v>154</v>
      </c>
      <c r="C37" s="87">
        <v>100.96</v>
      </c>
      <c r="D37" s="144">
        <v>144.55</v>
      </c>
    </row>
    <row r="38" spans="1:4" ht="12.75">
      <c r="A38" s="10" t="s">
        <v>358</v>
      </c>
      <c r="B38" s="9" t="s">
        <v>83</v>
      </c>
      <c r="C38" s="134">
        <f>C39+C45+C46+C43</f>
        <v>3463.7700000000004</v>
      </c>
      <c r="D38" s="87">
        <v>3117.22</v>
      </c>
    </row>
    <row r="39" spans="1:5" ht="12.75">
      <c r="A39" s="10" t="s">
        <v>361</v>
      </c>
      <c r="B39" s="18" t="s">
        <v>146</v>
      </c>
      <c r="C39" s="134">
        <f>461.07+2780.96</f>
        <v>3242.03</v>
      </c>
      <c r="D39" s="87">
        <v>3102.7</v>
      </c>
      <c r="E39" s="63"/>
    </row>
    <row r="40" spans="1:4" ht="12.75">
      <c r="A40" s="10" t="s">
        <v>362</v>
      </c>
      <c r="B40" s="16" t="s">
        <v>91</v>
      </c>
      <c r="C40" s="134">
        <f>C39-C41</f>
        <v>2262.94</v>
      </c>
      <c r="D40" s="87">
        <v>2222.44</v>
      </c>
    </row>
    <row r="41" spans="1:4" ht="21">
      <c r="A41" s="10" t="s">
        <v>363</v>
      </c>
      <c r="B41" s="18" t="s">
        <v>143</v>
      </c>
      <c r="C41" s="134">
        <f>ROUND(C39*30.2%,2)</f>
        <v>979.09</v>
      </c>
      <c r="D41" s="87">
        <v>657.11</v>
      </c>
    </row>
    <row r="42" spans="1:4" ht="12.75" hidden="1">
      <c r="A42" s="10" t="s">
        <v>224</v>
      </c>
      <c r="B42" s="41"/>
      <c r="C42" s="180"/>
      <c r="D42" s="95"/>
    </row>
    <row r="43" spans="1:4" ht="12.75">
      <c r="A43" s="10" t="s">
        <v>364</v>
      </c>
      <c r="B43" s="9" t="s">
        <v>84</v>
      </c>
      <c r="C43" s="137">
        <v>45.34</v>
      </c>
      <c r="D43" s="92"/>
    </row>
    <row r="44" spans="1:4" ht="12.75">
      <c r="A44" s="10" t="s">
        <v>365</v>
      </c>
      <c r="B44" s="43" t="s">
        <v>221</v>
      </c>
      <c r="C44" s="134"/>
      <c r="D44" s="92">
        <v>14.52</v>
      </c>
    </row>
    <row r="45" spans="1:4" ht="12.75">
      <c r="A45" s="10" t="s">
        <v>366</v>
      </c>
      <c r="B45" s="9" t="s">
        <v>379</v>
      </c>
      <c r="C45" s="137">
        <f>35.79</f>
        <v>35.79</v>
      </c>
      <c r="D45" s="87"/>
    </row>
    <row r="46" spans="1:4" ht="12.75">
      <c r="A46" s="10" t="s">
        <v>367</v>
      </c>
      <c r="B46" s="9" t="s">
        <v>212</v>
      </c>
      <c r="C46" s="134">
        <f>4.86+8.18+126.41+0.7+0.2+0.26</f>
        <v>140.60999999999996</v>
      </c>
      <c r="D46" s="87"/>
    </row>
    <row r="47" spans="1:4" ht="12.75">
      <c r="A47" s="10" t="s">
        <v>380</v>
      </c>
      <c r="B47" s="9" t="s">
        <v>378</v>
      </c>
      <c r="C47" s="137"/>
      <c r="D47" s="104"/>
    </row>
    <row r="48" spans="1:5" ht="12.75">
      <c r="A48" s="10" t="s">
        <v>117</v>
      </c>
      <c r="B48" s="19" t="s">
        <v>93</v>
      </c>
      <c r="C48" s="144">
        <f>32240.45+C64-C22</f>
        <v>-10958.80999999999</v>
      </c>
      <c r="D48" s="69">
        <v>12423.3</v>
      </c>
      <c r="E48" s="66"/>
    </row>
    <row r="49" spans="1:4" ht="12.75">
      <c r="A49" s="10" t="s">
        <v>218</v>
      </c>
      <c r="B49" s="18" t="s">
        <v>94</v>
      </c>
      <c r="C49" s="180"/>
      <c r="D49" s="100"/>
    </row>
    <row r="50" spans="1:4" ht="12.75">
      <c r="A50" s="10" t="s">
        <v>217</v>
      </c>
      <c r="B50" s="9" t="s">
        <v>95</v>
      </c>
      <c r="C50" s="180"/>
      <c r="D50" s="100"/>
    </row>
    <row r="51" spans="1:4" ht="12.75">
      <c r="A51" s="10" t="s">
        <v>216</v>
      </c>
      <c r="B51" s="9" t="s">
        <v>96</v>
      </c>
      <c r="C51" s="180"/>
      <c r="D51" s="100"/>
    </row>
    <row r="52" spans="1:4" ht="12.75">
      <c r="A52" s="10" t="s">
        <v>275</v>
      </c>
      <c r="B52" s="9" t="s">
        <v>97</v>
      </c>
      <c r="C52" s="180"/>
      <c r="D52" s="100"/>
    </row>
    <row r="53" spans="1:4" ht="12.75">
      <c r="A53" s="10" t="s">
        <v>274</v>
      </c>
      <c r="B53" s="9" t="s">
        <v>98</v>
      </c>
      <c r="C53" s="180"/>
      <c r="D53" s="100"/>
    </row>
    <row r="54" spans="1:4" ht="12.75">
      <c r="A54" s="10" t="s">
        <v>273</v>
      </c>
      <c r="B54" s="18" t="s">
        <v>99</v>
      </c>
      <c r="C54" s="180"/>
      <c r="D54" s="100"/>
    </row>
    <row r="55" spans="1:4" ht="12.75">
      <c r="A55" s="10" t="s">
        <v>271</v>
      </c>
      <c r="B55" s="9" t="s">
        <v>100</v>
      </c>
      <c r="C55" s="180"/>
      <c r="D55" s="100"/>
    </row>
    <row r="56" spans="1:4" ht="12.75">
      <c r="A56" s="10" t="s">
        <v>270</v>
      </c>
      <c r="B56" s="9" t="s">
        <v>126</v>
      </c>
      <c r="C56" s="180"/>
      <c r="D56" s="100"/>
    </row>
    <row r="57" spans="1:4" ht="12.75">
      <c r="A57" s="10" t="s">
        <v>269</v>
      </c>
      <c r="B57" s="19" t="s">
        <v>102</v>
      </c>
      <c r="C57" s="159">
        <f>C48+C22-C64</f>
        <v>32240.450000000004</v>
      </c>
      <c r="D57" s="75">
        <v>49076.54</v>
      </c>
    </row>
    <row r="58" spans="1:4" ht="21">
      <c r="A58" s="10" t="s">
        <v>268</v>
      </c>
      <c r="B58" s="18" t="s">
        <v>267</v>
      </c>
      <c r="C58" s="134">
        <f>ROUND(C22/C14*1000,2)</f>
        <v>948.25</v>
      </c>
      <c r="D58" s="101">
        <v>1089.44</v>
      </c>
    </row>
    <row r="59" spans="1:4" ht="31.5">
      <c r="A59" s="10" t="s">
        <v>266</v>
      </c>
      <c r="B59" s="18" t="s">
        <v>265</v>
      </c>
      <c r="C59" s="134">
        <v>1088.56</v>
      </c>
      <c r="D59" s="69">
        <v>1088.56</v>
      </c>
    </row>
    <row r="60" spans="1:4" ht="12.75">
      <c r="A60" s="10" t="s">
        <v>264</v>
      </c>
      <c r="B60" s="9" t="s">
        <v>123</v>
      </c>
      <c r="C60" s="87">
        <f>ROUND(C59*1.18,2)</f>
        <v>1284.5</v>
      </c>
      <c r="D60" s="101">
        <v>1088.56</v>
      </c>
    </row>
    <row r="61" spans="1:4" ht="21">
      <c r="A61" s="45">
        <v>18</v>
      </c>
      <c r="B61" s="26" t="s">
        <v>278</v>
      </c>
      <c r="C61" s="134">
        <v>39439.26</v>
      </c>
      <c r="D61" s="88">
        <v>57910.32</v>
      </c>
    </row>
    <row r="62" spans="1:4" ht="12.75">
      <c r="A62" s="10" t="s">
        <v>260</v>
      </c>
      <c r="B62" s="9" t="s">
        <v>210</v>
      </c>
      <c r="C62" s="134">
        <f>ROUND((C20*C60)*92.31%/1000,2)</f>
        <v>34658.63</v>
      </c>
      <c r="D62" s="158">
        <v>32952.06</v>
      </c>
    </row>
    <row r="63" spans="1:4" ht="12.75">
      <c r="A63" s="10" t="s">
        <v>259</v>
      </c>
      <c r="B63" s="9" t="s">
        <v>119</v>
      </c>
      <c r="C63" s="134">
        <f>C61-C64-C62</f>
        <v>3385.100000000006</v>
      </c>
      <c r="D63" s="161">
        <v>24958.26</v>
      </c>
    </row>
    <row r="64" spans="1:4" ht="12.75">
      <c r="A64" s="10" t="s">
        <v>258</v>
      </c>
      <c r="B64" s="9" t="s">
        <v>109</v>
      </c>
      <c r="C64" s="134">
        <v>1395.53</v>
      </c>
      <c r="D64" s="158">
        <v>0</v>
      </c>
    </row>
    <row r="65" spans="1:4" ht="12.75">
      <c r="A65" s="10" t="s">
        <v>257</v>
      </c>
      <c r="B65" s="19" t="s">
        <v>277</v>
      </c>
      <c r="C65" s="144">
        <f>C48</f>
        <v>-10958.80999999999</v>
      </c>
      <c r="D65" s="146">
        <f>D48</f>
        <v>12423.3</v>
      </c>
    </row>
    <row r="67" spans="1:3" ht="15" customHeight="1" hidden="1">
      <c r="A67" s="7" t="s">
        <v>209</v>
      </c>
      <c r="B67" s="6"/>
      <c r="C67" s="83"/>
    </row>
    <row r="68" spans="1:3" ht="12.75" customHeight="1" hidden="1">
      <c r="A68" s="6"/>
      <c r="B68" s="6"/>
      <c r="C68" s="83"/>
    </row>
    <row r="69" spans="1:3" ht="15" customHeight="1" hidden="1">
      <c r="A69" s="7" t="s">
        <v>208</v>
      </c>
      <c r="B69" s="6"/>
      <c r="C69" s="83"/>
    </row>
    <row r="70" spans="1:3" ht="12.75" customHeight="1" hidden="1">
      <c r="A70" s="6"/>
      <c r="B70" s="6"/>
      <c r="C70" s="83"/>
    </row>
    <row r="71" spans="1:3" ht="15" customHeight="1" hidden="1">
      <c r="A71" s="62" t="s">
        <v>347</v>
      </c>
      <c r="B71" s="6"/>
      <c r="C71" s="83"/>
    </row>
    <row r="72" spans="1:3" ht="12.75">
      <c r="A72" s="3" t="s">
        <v>385</v>
      </c>
      <c r="B72" s="66"/>
      <c r="C72" s="112" t="s">
        <v>387</v>
      </c>
    </row>
    <row r="73" ht="12.75">
      <c r="B73" s="66"/>
    </row>
    <row r="74" spans="1:3" ht="12.75">
      <c r="A74" s="3" t="s">
        <v>386</v>
      </c>
      <c r="B74" s="66"/>
      <c r="C74" s="112" t="s">
        <v>388</v>
      </c>
    </row>
    <row r="75" ht="12.75">
      <c r="B75" s="66"/>
    </row>
    <row r="76" spans="1:3" ht="12.75">
      <c r="A76" s="115" t="s">
        <v>389</v>
      </c>
      <c r="B76" s="116"/>
      <c r="C76" s="116" t="s">
        <v>390</v>
      </c>
    </row>
    <row r="77" spans="1:3" ht="12.75">
      <c r="A77" s="115"/>
      <c r="B77" s="116"/>
      <c r="C77" s="1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76"/>
  <sheetViews>
    <sheetView tabSelected="1" zoomScalePageLayoutView="0" workbookViewId="0" topLeftCell="A36">
      <selection activeCell="A1" sqref="A1:D76"/>
    </sheetView>
  </sheetViews>
  <sheetFormatPr defaultColWidth="9.140625" defaultRowHeight="12.75"/>
  <cols>
    <col min="1" max="1" width="9.57421875" style="0" customWidth="1"/>
    <col min="2" max="2" width="28.140625" style="0" customWidth="1"/>
    <col min="3" max="3" width="16.57421875" style="187" customWidth="1"/>
    <col min="4" max="4" width="16.28125" style="185" customWidth="1"/>
  </cols>
  <sheetData>
    <row r="1" spans="1:4" ht="12.75">
      <c r="A1" s="205" t="s">
        <v>395</v>
      </c>
      <c r="B1" s="205"/>
      <c r="C1" s="205"/>
      <c r="D1" s="205"/>
    </row>
    <row r="2" spans="1:4" ht="12.75">
      <c r="A2" s="205" t="s">
        <v>315</v>
      </c>
      <c r="B2" s="205"/>
      <c r="C2" s="205"/>
      <c r="D2" s="205"/>
    </row>
    <row r="3" spans="1:4" ht="12.75">
      <c r="A3" s="205" t="s">
        <v>1</v>
      </c>
      <c r="B3" s="205"/>
      <c r="C3" s="205"/>
      <c r="D3" s="205"/>
    </row>
    <row r="4" spans="1:4" ht="12.75">
      <c r="A4" s="48"/>
      <c r="B4" s="48"/>
      <c r="C4" s="194"/>
      <c r="D4" s="103" t="s">
        <v>2</v>
      </c>
    </row>
    <row r="5" spans="1:4" ht="31.5">
      <c r="A5" s="49" t="s">
        <v>3</v>
      </c>
      <c r="B5" s="49" t="s">
        <v>60</v>
      </c>
      <c r="C5" s="189" t="s">
        <v>112</v>
      </c>
      <c r="D5" s="181" t="s">
        <v>111</v>
      </c>
    </row>
    <row r="6" spans="1:4" ht="12.75">
      <c r="A6" s="49">
        <v>1</v>
      </c>
      <c r="B6" s="49">
        <v>2</v>
      </c>
      <c r="C6" s="195">
        <v>3</v>
      </c>
      <c r="D6" s="72">
        <v>4</v>
      </c>
    </row>
    <row r="7" spans="1:4" ht="18.75" customHeight="1">
      <c r="A7" s="50" t="s">
        <v>4</v>
      </c>
      <c r="B7" s="20" t="s">
        <v>205</v>
      </c>
      <c r="C7" s="195"/>
      <c r="D7" s="72"/>
    </row>
    <row r="8" spans="1:4" ht="18.75" customHeight="1">
      <c r="A8" s="50" t="s">
        <v>204</v>
      </c>
      <c r="B8" s="51" t="s">
        <v>316</v>
      </c>
      <c r="C8" s="195">
        <f>C9+C10+C11-0.01</f>
        <v>181352.06999999998</v>
      </c>
      <c r="D8" s="72">
        <v>122810</v>
      </c>
    </row>
    <row r="9" spans="1:4" ht="12.75">
      <c r="A9" s="50" t="s">
        <v>304</v>
      </c>
      <c r="B9" s="51" t="s">
        <v>317</v>
      </c>
      <c r="C9" s="195">
        <v>6040.96</v>
      </c>
      <c r="D9" s="72">
        <v>2393.8</v>
      </c>
    </row>
    <row r="10" spans="1:4" ht="12.75">
      <c r="A10" s="50" t="s">
        <v>397</v>
      </c>
      <c r="B10" s="51" t="s">
        <v>398</v>
      </c>
      <c r="C10" s="195">
        <v>58283.3</v>
      </c>
      <c r="D10" s="72"/>
    </row>
    <row r="11" spans="1:4" ht="12.75">
      <c r="A11" s="50" t="s">
        <v>6</v>
      </c>
      <c r="B11" s="51" t="s">
        <v>303</v>
      </c>
      <c r="C11" s="195">
        <f>C12+C13+C14</f>
        <v>117027.81999999999</v>
      </c>
      <c r="D11" s="72">
        <v>122810</v>
      </c>
    </row>
    <row r="12" spans="1:4" ht="22.5">
      <c r="A12" s="50" t="s">
        <v>302</v>
      </c>
      <c r="B12" s="52" t="s">
        <v>187</v>
      </c>
      <c r="C12" s="195">
        <v>13637.93</v>
      </c>
      <c r="D12" s="72">
        <v>14627.23</v>
      </c>
    </row>
    <row r="13" spans="1:4" ht="12.75">
      <c r="A13" s="50" t="s">
        <v>301</v>
      </c>
      <c r="B13" s="52" t="s">
        <v>185</v>
      </c>
      <c r="C13" s="195">
        <v>94621</v>
      </c>
      <c r="D13" s="72">
        <v>95589.5</v>
      </c>
    </row>
    <row r="14" spans="1:4" ht="12.75">
      <c r="A14" s="50" t="s">
        <v>301</v>
      </c>
      <c r="B14" s="52" t="s">
        <v>183</v>
      </c>
      <c r="C14" s="195">
        <v>8768.89</v>
      </c>
      <c r="D14" s="72">
        <v>12593.27</v>
      </c>
    </row>
    <row r="15" spans="1:4" ht="33.75">
      <c r="A15" s="50" t="s">
        <v>300</v>
      </c>
      <c r="B15" s="51" t="s">
        <v>318</v>
      </c>
      <c r="C15" s="195"/>
      <c r="D15" s="72"/>
    </row>
    <row r="16" spans="1:4" ht="22.5">
      <c r="A16" s="50" t="s">
        <v>7</v>
      </c>
      <c r="B16" s="51" t="s">
        <v>319</v>
      </c>
      <c r="C16" s="195"/>
      <c r="D16" s="72" t="s">
        <v>396</v>
      </c>
    </row>
    <row r="17" spans="1:6" ht="12.75">
      <c r="A17" s="53" t="s">
        <v>8</v>
      </c>
      <c r="B17" s="65" t="s">
        <v>70</v>
      </c>
      <c r="C17" s="190">
        <f>C18+C19+C26+C27+C28+C33+C40+C37</f>
        <v>4727.2362</v>
      </c>
      <c r="D17" s="67">
        <v>122810</v>
      </c>
      <c r="E17" s="47"/>
      <c r="F17" s="47"/>
    </row>
    <row r="18" spans="1:4" ht="12.75">
      <c r="A18" s="53" t="s">
        <v>299</v>
      </c>
      <c r="B18" s="55" t="s">
        <v>181</v>
      </c>
      <c r="C18" s="195">
        <v>22</v>
      </c>
      <c r="D18" s="72">
        <v>4368.4</v>
      </c>
    </row>
    <row r="19" spans="1:4" ht="31.5">
      <c r="A19" s="53" t="s">
        <v>298</v>
      </c>
      <c r="B19" s="54" t="s">
        <v>215</v>
      </c>
      <c r="C19" s="190">
        <v>872.2</v>
      </c>
      <c r="D19" s="67">
        <v>15.8</v>
      </c>
    </row>
    <row r="20" spans="1:4" ht="12.75">
      <c r="A20" s="53" t="s">
        <v>297</v>
      </c>
      <c r="B20" s="56" t="s">
        <v>177</v>
      </c>
      <c r="C20" s="193"/>
      <c r="D20" s="186">
        <v>768.42</v>
      </c>
    </row>
    <row r="21" spans="1:4" ht="12.75">
      <c r="A21" s="53" t="s">
        <v>296</v>
      </c>
      <c r="B21" s="55" t="s">
        <v>171</v>
      </c>
      <c r="C21" s="196">
        <f>C19/C22</f>
        <v>2.4778409090909093</v>
      </c>
      <c r="D21" s="139">
        <v>2.632</v>
      </c>
    </row>
    <row r="22" spans="1:4" ht="12.75">
      <c r="A22" s="53" t="s">
        <v>295</v>
      </c>
      <c r="B22" s="55" t="s">
        <v>169</v>
      </c>
      <c r="C22" s="197">
        <v>352</v>
      </c>
      <c r="D22" s="183">
        <v>291.96</v>
      </c>
    </row>
    <row r="23" spans="1:4" ht="21">
      <c r="A23" s="53" t="s">
        <v>294</v>
      </c>
      <c r="B23" s="56" t="s">
        <v>173</v>
      </c>
      <c r="C23" s="190"/>
      <c r="D23" s="67"/>
    </row>
    <row r="24" spans="1:4" ht="12.75">
      <c r="A24" s="53" t="s">
        <v>293</v>
      </c>
      <c r="B24" s="55" t="s">
        <v>171</v>
      </c>
      <c r="C24" s="191"/>
      <c r="D24" s="104"/>
    </row>
    <row r="25" spans="1:6" ht="12.75">
      <c r="A25" s="53" t="s">
        <v>292</v>
      </c>
      <c r="B25" s="55" t="s">
        <v>169</v>
      </c>
      <c r="C25" s="191"/>
      <c r="D25" s="104"/>
      <c r="F25" s="47"/>
    </row>
    <row r="26" spans="1:4" ht="22.5">
      <c r="A26" s="53" t="s">
        <v>291</v>
      </c>
      <c r="B26" s="55" t="s">
        <v>76</v>
      </c>
      <c r="C26" s="192">
        <v>1437.21</v>
      </c>
      <c r="D26" s="67">
        <v>898.44</v>
      </c>
    </row>
    <row r="27" spans="1:4" ht="33.75">
      <c r="A27" s="53" t="s">
        <v>290</v>
      </c>
      <c r="B27" s="55" t="s">
        <v>77</v>
      </c>
      <c r="C27" s="192">
        <v>434.09</v>
      </c>
      <c r="D27" s="67">
        <v>264.5</v>
      </c>
    </row>
    <row r="28" spans="1:4" ht="12.75">
      <c r="A28" s="53" t="s">
        <v>289</v>
      </c>
      <c r="B28" s="55" t="s">
        <v>78</v>
      </c>
      <c r="C28" s="195">
        <v>46.66</v>
      </c>
      <c r="D28" s="67">
        <v>44.31</v>
      </c>
    </row>
    <row r="29" spans="1:4" ht="22.5">
      <c r="A29" s="53" t="s">
        <v>288</v>
      </c>
      <c r="B29" s="55" t="s">
        <v>164</v>
      </c>
      <c r="C29" s="190">
        <v>0</v>
      </c>
      <c r="D29" s="67">
        <v>589.11</v>
      </c>
    </row>
    <row r="30" spans="1:4" ht="12.75">
      <c r="A30" s="53" t="s">
        <v>287</v>
      </c>
      <c r="B30" s="55" t="s">
        <v>320</v>
      </c>
      <c r="C30" s="191">
        <v>0</v>
      </c>
      <c r="D30" s="68">
        <v>50</v>
      </c>
    </row>
    <row r="31" spans="1:4" ht="22.5">
      <c r="A31" s="53" t="s">
        <v>286</v>
      </c>
      <c r="B31" s="55" t="s">
        <v>321</v>
      </c>
      <c r="C31" s="198"/>
      <c r="D31" s="67">
        <v>414.7</v>
      </c>
    </row>
    <row r="32" spans="1:4" ht="33.75">
      <c r="A32" s="53" t="s">
        <v>285</v>
      </c>
      <c r="B32" s="55" t="s">
        <v>322</v>
      </c>
      <c r="C32" s="198"/>
      <c r="D32" s="67">
        <v>124.41</v>
      </c>
    </row>
    <row r="33" spans="1:4" ht="12.75">
      <c r="A33" s="123" t="s">
        <v>323</v>
      </c>
      <c r="B33" s="56" t="s">
        <v>80</v>
      </c>
      <c r="C33" s="192">
        <f>65.67+103.8+97.57+29.55</f>
        <v>296.59</v>
      </c>
      <c r="D33" s="67">
        <v>304.13</v>
      </c>
    </row>
    <row r="34" spans="1:5" ht="22.5">
      <c r="A34" s="53" t="s">
        <v>324</v>
      </c>
      <c r="B34" s="55" t="s">
        <v>325</v>
      </c>
      <c r="C34" s="191">
        <f>97.57+72.45</f>
        <v>170.01999999999998</v>
      </c>
      <c r="D34" s="68">
        <v>87.92</v>
      </c>
      <c r="E34" s="63"/>
    </row>
    <row r="35" spans="1:4" ht="22.5">
      <c r="A35" s="53" t="s">
        <v>326</v>
      </c>
      <c r="B35" s="55" t="s">
        <v>327</v>
      </c>
      <c r="C35" s="192">
        <f>29.54+31.34</f>
        <v>60.879999999999995</v>
      </c>
      <c r="D35" s="68">
        <v>26.7</v>
      </c>
    </row>
    <row r="36" spans="1:5" ht="12.75">
      <c r="A36" s="53" t="s">
        <v>284</v>
      </c>
      <c r="B36" s="57" t="s">
        <v>148</v>
      </c>
      <c r="C36" s="190">
        <v>0</v>
      </c>
      <c r="D36" s="67">
        <v>451.74</v>
      </c>
      <c r="E36" s="63"/>
    </row>
    <row r="37" spans="1:4" ht="22.5">
      <c r="A37" s="53" t="s">
        <v>283</v>
      </c>
      <c r="B37" s="55" t="s">
        <v>146</v>
      </c>
      <c r="C37" s="190">
        <f>136.6+824.79</f>
        <v>961.39</v>
      </c>
      <c r="D37" s="68">
        <v>866.48</v>
      </c>
    </row>
    <row r="38" spans="1:4" ht="12.75">
      <c r="A38" s="53" t="s">
        <v>282</v>
      </c>
      <c r="B38" s="55" t="s">
        <v>328</v>
      </c>
      <c r="C38" s="192">
        <f>C37-C39</f>
        <v>671.05</v>
      </c>
      <c r="D38" s="68">
        <v>621</v>
      </c>
    </row>
    <row r="39" spans="1:4" ht="22.5">
      <c r="A39" s="53" t="s">
        <v>281</v>
      </c>
      <c r="B39" s="55" t="s">
        <v>329</v>
      </c>
      <c r="C39" s="192">
        <f>ROUND(C37*30.2%,2)</f>
        <v>290.34</v>
      </c>
      <c r="D39" s="68">
        <v>183.6</v>
      </c>
    </row>
    <row r="40" spans="1:4" ht="12.75">
      <c r="A40" s="53" t="s">
        <v>280</v>
      </c>
      <c r="B40" s="55" t="s">
        <v>279</v>
      </c>
      <c r="C40" s="190">
        <f>C41+C43+C44+C45</f>
        <v>657.0962</v>
      </c>
      <c r="D40" s="68">
        <v>165.47</v>
      </c>
    </row>
    <row r="41" spans="1:4" ht="12.75">
      <c r="A41" s="53" t="s">
        <v>330</v>
      </c>
      <c r="B41" s="55" t="s">
        <v>382</v>
      </c>
      <c r="C41" s="192">
        <f>172.92</f>
        <v>172.92</v>
      </c>
      <c r="D41" s="68"/>
    </row>
    <row r="42" spans="1:4" ht="22.5">
      <c r="A42" s="53" t="s">
        <v>331</v>
      </c>
      <c r="B42" s="55" t="s">
        <v>99</v>
      </c>
      <c r="C42" s="192">
        <v>0</v>
      </c>
      <c r="D42" s="68">
        <v>5.7</v>
      </c>
    </row>
    <row r="43" spans="1:4" ht="12.75">
      <c r="A43" s="53" t="s">
        <v>332</v>
      </c>
      <c r="B43" s="55" t="s">
        <v>212</v>
      </c>
      <c r="C43" s="192">
        <f>1.11+2.22+2.62+1.5+1.57+8.77+1.95+0.14+36.58-10.36</f>
        <v>46.099999999999994</v>
      </c>
      <c r="D43" s="68">
        <v>159.77</v>
      </c>
    </row>
    <row r="44" spans="1:4" ht="12.75">
      <c r="A44" s="53" t="s">
        <v>333</v>
      </c>
      <c r="B44" s="55" t="s">
        <v>381</v>
      </c>
      <c r="C44" s="199">
        <f>0.0162</f>
        <v>0.0162</v>
      </c>
      <c r="D44" s="68"/>
    </row>
    <row r="45" spans="1:4" ht="12.75">
      <c r="A45" s="53" t="s">
        <v>334</v>
      </c>
      <c r="B45" s="55" t="s">
        <v>348</v>
      </c>
      <c r="C45" s="193">
        <v>438.06</v>
      </c>
      <c r="D45" s="68"/>
    </row>
    <row r="46" spans="1:4" ht="12.75">
      <c r="A46" s="53" t="s">
        <v>313</v>
      </c>
      <c r="B46" s="55"/>
      <c r="C46" s="193"/>
      <c r="D46" s="68"/>
    </row>
    <row r="47" spans="1:4" ht="12.75">
      <c r="A47" s="53" t="s">
        <v>335</v>
      </c>
      <c r="B47" s="55"/>
      <c r="C47" s="193"/>
      <c r="D47" s="182"/>
    </row>
    <row r="48" spans="1:5" ht="12.75">
      <c r="A48" s="53" t="s">
        <v>9</v>
      </c>
      <c r="B48" s="54" t="s">
        <v>93</v>
      </c>
      <c r="C48" s="200">
        <f>4862.14-C17</f>
        <v>134.90380000000005</v>
      </c>
      <c r="D48" s="102">
        <v>23.58</v>
      </c>
      <c r="E48" s="66"/>
    </row>
    <row r="49" spans="1:4" ht="22.5">
      <c r="A49" s="53" t="s">
        <v>10</v>
      </c>
      <c r="B49" s="51" t="s">
        <v>336</v>
      </c>
      <c r="C49" s="193"/>
      <c r="D49" s="182"/>
    </row>
    <row r="50" spans="1:4" ht="12.75">
      <c r="A50" s="53" t="s">
        <v>312</v>
      </c>
      <c r="B50" s="51" t="s">
        <v>337</v>
      </c>
      <c r="C50" s="193"/>
      <c r="D50" s="182"/>
    </row>
    <row r="51" spans="1:4" ht="12.75">
      <c r="A51" s="53" t="s">
        <v>11</v>
      </c>
      <c r="B51" s="51" t="s">
        <v>338</v>
      </c>
      <c r="C51" s="193"/>
      <c r="D51" s="182"/>
    </row>
    <row r="52" spans="1:4" ht="12.75">
      <c r="A52" s="53" t="s">
        <v>311</v>
      </c>
      <c r="B52" s="51" t="s">
        <v>97</v>
      </c>
      <c r="C52" s="193"/>
      <c r="D52" s="182"/>
    </row>
    <row r="53" spans="1:4" ht="12.75">
      <c r="A53" s="53" t="s">
        <v>339</v>
      </c>
      <c r="B53" s="51" t="s">
        <v>98</v>
      </c>
      <c r="C53" s="193"/>
      <c r="D53" s="182"/>
    </row>
    <row r="54" spans="1:4" ht="22.5">
      <c r="A54" s="53" t="s">
        <v>310</v>
      </c>
      <c r="B54" s="51" t="s">
        <v>99</v>
      </c>
      <c r="C54" s="193"/>
      <c r="D54" s="182"/>
    </row>
    <row r="55" spans="1:4" ht="12.75">
      <c r="A55" s="53" t="s">
        <v>340</v>
      </c>
      <c r="B55" s="51" t="s">
        <v>341</v>
      </c>
      <c r="C55" s="193"/>
      <c r="D55" s="182"/>
    </row>
    <row r="56" spans="1:4" ht="12.75">
      <c r="A56" s="53" t="s">
        <v>309</v>
      </c>
      <c r="B56" s="51" t="s">
        <v>342</v>
      </c>
      <c r="C56" s="193"/>
      <c r="D56" s="182"/>
    </row>
    <row r="57" spans="1:4" ht="12.75">
      <c r="A57" s="53" t="s">
        <v>13</v>
      </c>
      <c r="B57" s="54" t="s">
        <v>102</v>
      </c>
      <c r="C57" s="190">
        <f>+C17+C48</f>
        <v>4862.14</v>
      </c>
      <c r="D57" s="67">
        <v>4391.97</v>
      </c>
    </row>
    <row r="58" spans="1:4" ht="22.5">
      <c r="A58" s="53" t="s">
        <v>42</v>
      </c>
      <c r="B58" s="51" t="s">
        <v>343</v>
      </c>
      <c r="C58" s="192">
        <f>C17/C11*1000</f>
        <v>40.39412338023558</v>
      </c>
      <c r="D58" s="68">
        <v>35.57</v>
      </c>
    </row>
    <row r="59" spans="1:4" ht="33.75">
      <c r="A59" s="53" t="s">
        <v>51</v>
      </c>
      <c r="B59" s="51" t="s">
        <v>308</v>
      </c>
      <c r="C59" s="192">
        <v>39.68</v>
      </c>
      <c r="D59" s="68">
        <v>35.7</v>
      </c>
    </row>
    <row r="60" spans="1:4" ht="12.75">
      <c r="A60" s="53" t="s">
        <v>52</v>
      </c>
      <c r="B60" s="51" t="s">
        <v>123</v>
      </c>
      <c r="C60" s="191">
        <f>ROUND(C59*1.18,2)</f>
        <v>46.82</v>
      </c>
      <c r="D60" s="104">
        <v>35.7</v>
      </c>
    </row>
    <row r="61" spans="1:4" ht="21">
      <c r="A61" s="53" t="s">
        <v>211</v>
      </c>
      <c r="B61" s="54" t="s">
        <v>108</v>
      </c>
      <c r="C61" s="200">
        <f>5737.33</f>
        <v>5737.33</v>
      </c>
      <c r="D61" s="102">
        <v>5182.52</v>
      </c>
    </row>
    <row r="62" spans="1:4" ht="12.75">
      <c r="A62" s="53" t="s">
        <v>307</v>
      </c>
      <c r="B62" s="51" t="s">
        <v>210</v>
      </c>
      <c r="C62" s="201">
        <f>C13*C60/1000</f>
        <v>4430.15522</v>
      </c>
      <c r="D62" s="69">
        <v>4026.8</v>
      </c>
    </row>
    <row r="63" spans="1:4" ht="12.75">
      <c r="A63" s="53" t="s">
        <v>306</v>
      </c>
      <c r="B63" s="51" t="s">
        <v>119</v>
      </c>
      <c r="C63" s="201">
        <f>C61-C62</f>
        <v>1307.1747800000003</v>
      </c>
      <c r="D63" s="69">
        <v>1155.7</v>
      </c>
    </row>
    <row r="64" spans="1:4" ht="12.75">
      <c r="A64" s="53" t="s">
        <v>305</v>
      </c>
      <c r="B64" s="51" t="s">
        <v>109</v>
      </c>
      <c r="C64" s="201">
        <v>0</v>
      </c>
      <c r="D64" s="69"/>
    </row>
    <row r="65" spans="1:4" ht="12.75">
      <c r="A65" s="53" t="s">
        <v>54</v>
      </c>
      <c r="B65" s="54" t="s">
        <v>110</v>
      </c>
      <c r="C65" s="200">
        <f>+C48</f>
        <v>134.90380000000005</v>
      </c>
      <c r="D65" s="102">
        <v>23.58</v>
      </c>
    </row>
    <row r="66" spans="1:4" ht="15.75">
      <c r="A66" s="58"/>
      <c r="B66" s="58"/>
      <c r="C66" s="202"/>
      <c r="D66" s="184"/>
    </row>
    <row r="67" spans="1:2" ht="15" hidden="1">
      <c r="A67" s="7" t="s">
        <v>209</v>
      </c>
      <c r="B67" s="6"/>
    </row>
    <row r="68" spans="1:2" ht="12.75" hidden="1">
      <c r="A68" s="6"/>
      <c r="B68" s="6"/>
    </row>
    <row r="69" spans="1:2" ht="15" hidden="1">
      <c r="A69" s="7" t="s">
        <v>208</v>
      </c>
      <c r="B69" s="6"/>
    </row>
    <row r="70" spans="1:2" ht="12.75" hidden="1">
      <c r="A70" s="6"/>
      <c r="B70" s="6"/>
    </row>
    <row r="71" spans="1:2" ht="15" hidden="1">
      <c r="A71" s="62" t="s">
        <v>347</v>
      </c>
      <c r="B71" s="6"/>
    </row>
    <row r="72" spans="1:3" ht="12.75">
      <c r="A72" s="3" t="s">
        <v>385</v>
      </c>
      <c r="B72" s="66"/>
      <c r="C72" s="187" t="s">
        <v>387</v>
      </c>
    </row>
    <row r="73" ht="12.75">
      <c r="B73" s="66"/>
    </row>
    <row r="74" spans="1:3" ht="12.75">
      <c r="A74" s="3" t="s">
        <v>386</v>
      </c>
      <c r="B74" s="66"/>
      <c r="C74" s="187" t="s">
        <v>388</v>
      </c>
    </row>
    <row r="75" ht="12.75">
      <c r="B75" s="66"/>
    </row>
    <row r="76" spans="1:3" ht="12.75">
      <c r="A76" s="115" t="s">
        <v>389</v>
      </c>
      <c r="B76" s="116"/>
      <c r="C76" s="188" t="s">
        <v>390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Шпагина</dc:creator>
  <cp:keywords/>
  <dc:description/>
  <cp:lastModifiedBy>Admin</cp:lastModifiedBy>
  <cp:lastPrinted>2013-05-23T08:29:19Z</cp:lastPrinted>
  <dcterms:created xsi:type="dcterms:W3CDTF">2012-05-25T09:58:42Z</dcterms:created>
  <dcterms:modified xsi:type="dcterms:W3CDTF">2013-05-23T08:40:38Z</dcterms:modified>
  <cp:category/>
  <cp:version/>
  <cp:contentType/>
  <cp:contentStatus/>
</cp:coreProperties>
</file>